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user\AppData\Local\Temp\Rar$DIa1960.19128\"/>
    </mc:Choice>
  </mc:AlternateContent>
  <bookViews>
    <workbookView xWindow="0" yWindow="0" windowWidth="23250" windowHeight="9735" tabRatio="458" firstSheet="2" activeTab="7"/>
  </bookViews>
  <sheets>
    <sheet name="Выбор поселения" sheetId="17" state="hidden" r:id="rId1"/>
    <sheet name="Решение" sheetId="18" state="hidden" r:id="rId2"/>
    <sheet name="П.1" sheetId="20" r:id="rId3"/>
    <sheet name="П.2" sheetId="22" r:id="rId4"/>
    <sheet name="П.3" sheetId="24" r:id="rId5"/>
    <sheet name="П.4" sheetId="26" state="hidden" r:id="rId6"/>
    <sheet name="П.5" sheetId="27" state="hidden" r:id="rId7"/>
    <sheet name="П.6" sheetId="28" r:id="rId8"/>
    <sheet name="П.7" sheetId="30" state="hidden" r:id="rId9"/>
    <sheet name="П.8" sheetId="32" state="hidden" r:id="rId10"/>
  </sheets>
  <definedNames>
    <definedName name="_xlnm._FilterDatabase" localSheetId="2" hidden="1">П.1!$A$13:$C$39</definedName>
    <definedName name="_xlnm._FilterDatabase" localSheetId="3" hidden="1">П.2!$A$11:$G$65</definedName>
    <definedName name="_xlnm._FilterDatabase" localSheetId="4" hidden="1">П.3!$A$11:$F$65</definedName>
    <definedName name="_xlnm._FilterDatabase" localSheetId="9" hidden="1">П.8!$A$10:$C$14</definedName>
    <definedName name="_xlnm.Print_Titles" localSheetId="2">П.1!$12:$13</definedName>
    <definedName name="_xlnm.Print_Area" localSheetId="0">'Выбор поселения'!$A$2:$CY$110</definedName>
    <definedName name="_xlnm.Print_Area" localSheetId="2">П.1!$A$1:$C$39</definedName>
    <definedName name="_xlnm.Print_Area" localSheetId="3">П.2!$A$1:$G$65</definedName>
    <definedName name="_xlnm.Print_Area" localSheetId="4">П.3!$A$1:$F$65</definedName>
    <definedName name="_xlnm.Print_Area" localSheetId="5">П.4!$A$1:$C$19</definedName>
    <definedName name="_xlnm.Print_Area" localSheetId="6">П.5!$A$1:$G$25</definedName>
    <definedName name="_xlnm.Print_Area" localSheetId="7">П.6!$A$1:$D$26</definedName>
    <definedName name="_xlnm.Print_Area" localSheetId="8">П.7!$A$1:$D$23</definedName>
    <definedName name="_xlnm.Print_Area" localSheetId="9">П.8!$A$1:$C$14</definedName>
  </definedNames>
  <calcPr calcId="162913" iterate="1"/>
</workbook>
</file>

<file path=xl/calcChain.xml><?xml version="1.0" encoding="utf-8"?>
<calcChain xmlns="http://schemas.openxmlformats.org/spreadsheetml/2006/main">
  <c r="C39" i="20" l="1"/>
  <c r="C14" i="20"/>
  <c r="C15" i="20"/>
  <c r="C26" i="20"/>
  <c r="F54" i="24" l="1"/>
  <c r="F65" i="24"/>
  <c r="G65" i="22"/>
  <c r="G54" i="22"/>
  <c r="A23" i="18" l="1"/>
  <c r="BJ7" i="17" l="1"/>
  <c r="BT7" i="17"/>
  <c r="AY7" i="17" s="1"/>
  <c r="BJ6" i="17"/>
  <c r="BJ4" i="17"/>
  <c r="BI6" i="17"/>
  <c r="CJ14" i="17" l="1"/>
  <c r="CJ13" i="17"/>
  <c r="CJ12" i="17"/>
  <c r="CJ11" i="17"/>
  <c r="CJ10" i="17"/>
  <c r="CJ9" i="17"/>
  <c r="CJ8" i="17"/>
  <c r="CJ7" i="17"/>
  <c r="CJ6" i="17"/>
  <c r="CJ5" i="17"/>
  <c r="CJ4" i="17"/>
  <c r="CJ3" i="17"/>
  <c r="G4" i="22"/>
  <c r="F4" i="24"/>
  <c r="C4" i="26"/>
  <c r="G4" i="27"/>
  <c r="D4" i="28"/>
  <c r="D4" i="30"/>
  <c r="C4" i="32"/>
  <c r="A19" i="18" l="1"/>
  <c r="B14" i="18"/>
  <c r="AY3" i="17" l="1"/>
  <c r="B19" i="20" l="1"/>
  <c r="B20" i="20"/>
  <c r="A20" i="20"/>
  <c r="A19" i="20"/>
  <c r="B18" i="20"/>
  <c r="B17" i="20"/>
  <c r="B16" i="20"/>
  <c r="AL3" i="17"/>
  <c r="AK3" i="17" s="1"/>
  <c r="AL4" i="17"/>
  <c r="AK4" i="17" s="1"/>
  <c r="CX15" i="17" l="1"/>
  <c r="J4" i="17"/>
  <c r="J5" i="17"/>
  <c r="J6" i="17"/>
  <c r="J7" i="17"/>
  <c r="J8" i="17"/>
  <c r="J9" i="17"/>
  <c r="J10" i="17"/>
  <c r="J11" i="17"/>
  <c r="J12" i="17"/>
  <c r="J13" i="17"/>
  <c r="J14" i="17"/>
  <c r="J3" i="17"/>
  <c r="CY100" i="17"/>
  <c r="CY14" i="17"/>
  <c r="CY15" i="17"/>
  <c r="CY16" i="17"/>
  <c r="J15" i="17" l="1"/>
  <c r="BD24" i="17" l="1"/>
  <c r="BD25" i="17"/>
  <c r="BD23" i="17"/>
  <c r="BD22" i="17"/>
  <c r="BD21" i="17"/>
  <c r="K15" i="17" l="1"/>
  <c r="CY98" i="17" l="1"/>
  <c r="B13" i="32" s="1"/>
  <c r="CY97" i="17"/>
  <c r="CY96" i="17"/>
  <c r="B11" i="32" s="1"/>
  <c r="CY61" i="17" l="1"/>
  <c r="F12" i="18" l="1"/>
  <c r="A24" i="18" l="1"/>
  <c r="CY91" i="17"/>
  <c r="A35" i="18" s="1"/>
  <c r="A25" i="18"/>
  <c r="A27" i="18"/>
  <c r="CY90" i="17" l="1"/>
  <c r="CY87" i="17" l="1"/>
  <c r="CY86" i="17"/>
  <c r="CY85" i="17"/>
  <c r="CY84" i="17"/>
  <c r="CY83" i="17"/>
  <c r="CY82" i="17"/>
  <c r="CY81" i="17"/>
  <c r="CY80" i="17"/>
  <c r="CY79" i="17"/>
  <c r="CY78" i="17"/>
  <c r="CY77" i="17"/>
  <c r="CY76" i="17"/>
  <c r="CY75" i="17"/>
  <c r="CY74" i="17"/>
  <c r="CY73" i="17"/>
  <c r="CY72" i="17"/>
  <c r="CY71" i="17"/>
  <c r="CY70" i="17"/>
  <c r="CY69" i="17"/>
  <c r="CY68" i="17"/>
  <c r="CY67" i="17"/>
  <c r="CY66" i="17"/>
  <c r="CY65" i="17"/>
  <c r="CY64" i="17"/>
  <c r="CY63" i="17"/>
  <c r="CY62" i="17"/>
  <c r="CY60" i="17"/>
  <c r="CY59" i="17"/>
  <c r="CY58" i="17"/>
  <c r="CY57" i="17"/>
  <c r="CY56" i="17"/>
  <c r="CY55" i="17"/>
  <c r="CY54" i="17"/>
  <c r="CY52" i="17"/>
  <c r="AY4" i="17"/>
  <c r="AY5" i="17"/>
  <c r="AY6" i="17"/>
  <c r="AY8" i="17"/>
  <c r="AY9" i="17"/>
  <c r="AY10" i="17"/>
  <c r="AY11" i="17"/>
  <c r="AY12" i="17"/>
  <c r="AY13" i="17"/>
  <c r="AY14" i="17"/>
  <c r="CY53" i="17" l="1"/>
  <c r="CY51" i="17"/>
  <c r="CY50" i="17"/>
  <c r="CY49" i="17"/>
  <c r="CY48" i="17"/>
  <c r="CY47" i="17"/>
  <c r="CY46" i="17"/>
  <c r="CY45" i="17"/>
  <c r="CY44" i="17"/>
  <c r="CY43" i="17"/>
  <c r="CY42" i="17"/>
  <c r="CY41" i="17"/>
  <c r="AL14" i="17"/>
  <c r="AK14" i="17" s="1"/>
  <c r="AL13" i="17"/>
  <c r="AK13" i="17" s="1"/>
  <c r="AL12" i="17"/>
  <c r="AK12" i="17" s="1"/>
  <c r="AL11" i="17"/>
  <c r="AK11" i="17" s="1"/>
  <c r="AL10" i="17"/>
  <c r="AK10" i="17" s="1"/>
  <c r="AL9" i="17"/>
  <c r="AK9" i="17" s="1"/>
  <c r="AL8" i="17"/>
  <c r="AK8" i="17" s="1"/>
  <c r="AL7" i="17"/>
  <c r="AK7" i="17" s="1"/>
  <c r="AL6" i="17"/>
  <c r="AK6" i="17" s="1"/>
  <c r="AL5" i="17"/>
  <c r="AK5" i="17" s="1"/>
  <c r="CY39" i="17" s="1"/>
  <c r="CY36" i="17"/>
  <c r="CY35" i="17"/>
  <c r="CY34" i="17"/>
  <c r="CY33" i="17"/>
  <c r="CY32" i="17"/>
  <c r="CY31" i="17"/>
  <c r="CY30" i="17"/>
  <c r="CY29" i="17"/>
  <c r="CY28" i="17"/>
  <c r="CY27" i="17"/>
  <c r="X14" i="17"/>
  <c r="W14" i="17" s="1"/>
  <c r="X13" i="17"/>
  <c r="W13" i="17" s="1"/>
  <c r="X12" i="17"/>
  <c r="W12" i="17" s="1"/>
  <c r="X11" i="17"/>
  <c r="W11" i="17" s="1"/>
  <c r="X10" i="17"/>
  <c r="W10" i="17" s="1"/>
  <c r="X9" i="17"/>
  <c r="W9" i="17" s="1"/>
  <c r="X8" i="17"/>
  <c r="W8" i="17" s="1"/>
  <c r="X7" i="17"/>
  <c r="W7" i="17" s="1"/>
  <c r="X6" i="17"/>
  <c r="W6" i="17" s="1"/>
  <c r="X5" i="17"/>
  <c r="W5" i="17" s="1"/>
  <c r="CY25" i="17" s="1"/>
  <c r="X4" i="17"/>
  <c r="W4" i="17" s="1"/>
  <c r="X3" i="17"/>
  <c r="CY40" i="17" l="1"/>
  <c r="CY26" i="17"/>
  <c r="CY38" i="17"/>
  <c r="DE7" i="17"/>
  <c r="CP7" i="17"/>
  <c r="DE9" i="17"/>
  <c r="CP9" i="17"/>
  <c r="DE11" i="17"/>
  <c r="CP11" i="17"/>
  <c r="DE13" i="17"/>
  <c r="CP13" i="17"/>
  <c r="DD5" i="17"/>
  <c r="CQ5" i="17"/>
  <c r="DD11" i="17"/>
  <c r="CQ11" i="17"/>
  <c r="DE5" i="17"/>
  <c r="CP5" i="17"/>
  <c r="DD7" i="17"/>
  <c r="CQ7" i="17"/>
  <c r="DD9" i="17"/>
  <c r="CQ9" i="17"/>
  <c r="DD13" i="17"/>
  <c r="CQ13" i="17"/>
  <c r="DE4" i="17"/>
  <c r="CP4" i="17"/>
  <c r="DE6" i="17"/>
  <c r="CP6" i="17"/>
  <c r="DE8" i="17"/>
  <c r="CP8" i="17"/>
  <c r="DE10" i="17"/>
  <c r="CP10" i="17"/>
  <c r="DE12" i="17"/>
  <c r="CP12" i="17"/>
  <c r="DE14" i="17"/>
  <c r="CP14" i="17"/>
  <c r="DD4" i="17"/>
  <c r="CQ4" i="17"/>
  <c r="DD6" i="17"/>
  <c r="CQ6" i="17"/>
  <c r="DD8" i="17"/>
  <c r="CQ8" i="17"/>
  <c r="DD10" i="17"/>
  <c r="CQ10" i="17"/>
  <c r="DD12" i="17"/>
  <c r="CQ12" i="17"/>
  <c r="DD14" i="17"/>
  <c r="CQ14" i="17"/>
  <c r="W3" i="17"/>
  <c r="CY23" i="17" s="1"/>
  <c r="CQ3" i="17"/>
  <c r="CY24" i="17"/>
  <c r="I4" i="17"/>
  <c r="I5" i="17"/>
  <c r="I6" i="17"/>
  <c r="I8" i="17"/>
  <c r="I9" i="17"/>
  <c r="I10" i="17"/>
  <c r="I11" i="17"/>
  <c r="I12" i="17"/>
  <c r="I13" i="17"/>
  <c r="I14" i="17"/>
  <c r="T15" i="17"/>
  <c r="S15" i="17"/>
  <c r="R15" i="17"/>
  <c r="Q15" i="17"/>
  <c r="P15" i="17"/>
  <c r="O15" i="17"/>
  <c r="N15" i="17"/>
  <c r="M15" i="17"/>
  <c r="L15" i="17"/>
  <c r="I7" i="17"/>
  <c r="CV15" i="17"/>
  <c r="CU15" i="17"/>
  <c r="CS15" i="17"/>
  <c r="CQ15" i="17"/>
  <c r="CP15" i="17"/>
  <c r="CO15" i="17"/>
  <c r="CC15" i="17"/>
  <c r="CB15" i="17"/>
  <c r="CA15" i="17"/>
  <c r="BZ15" i="17"/>
  <c r="BX15" i="17"/>
  <c r="U15" i="17"/>
  <c r="BY15" i="17" l="1"/>
  <c r="CY88" i="17"/>
  <c r="DC14" i="17"/>
  <c r="CO14" i="17"/>
  <c r="DC12" i="17"/>
  <c r="CO12" i="17"/>
  <c r="DC10" i="17"/>
  <c r="CO10" i="17"/>
  <c r="DC8" i="17"/>
  <c r="CO8" i="17"/>
  <c r="DC5" i="17"/>
  <c r="CO5" i="17"/>
  <c r="DE3" i="17"/>
  <c r="CP3" i="17"/>
  <c r="CY93" i="17" s="1"/>
  <c r="DC7" i="17"/>
  <c r="CO7" i="17"/>
  <c r="DC13" i="17"/>
  <c r="CO13" i="17"/>
  <c r="DC11" i="17"/>
  <c r="CO11" i="17"/>
  <c r="DC9" i="17"/>
  <c r="CO9" i="17"/>
  <c r="DC6" i="17"/>
  <c r="CO6" i="17"/>
  <c r="DC4" i="17"/>
  <c r="CO4" i="17"/>
  <c r="CY37" i="17"/>
  <c r="CY89" i="17" s="1"/>
  <c r="DD3" i="17"/>
  <c r="CR15" i="17"/>
  <c r="X15" i="17"/>
  <c r="I3" i="17"/>
  <c r="CO3" i="17" s="1"/>
  <c r="CY95" i="17" s="1"/>
  <c r="CT7" i="17"/>
  <c r="CT8" i="17"/>
  <c r="CT9" i="17"/>
  <c r="CT10" i="17"/>
  <c r="CT11" i="17"/>
  <c r="CT12" i="17"/>
  <c r="CT13" i="17"/>
  <c r="CT14" i="17"/>
  <c r="CT3" i="17"/>
  <c r="CT4" i="17"/>
  <c r="CT5" i="17"/>
  <c r="CT6" i="17"/>
  <c r="CY94" i="17" l="1"/>
  <c r="CT15" i="17"/>
  <c r="CY99" i="17"/>
  <c r="CW15" i="17"/>
  <c r="CY92" i="17"/>
  <c r="A42" i="18" s="1"/>
  <c r="DF3" i="17"/>
  <c r="W15" i="17"/>
  <c r="DE15" i="17" s="1"/>
  <c r="DC3" i="17"/>
  <c r="CY22" i="17"/>
  <c r="CY21" i="17"/>
  <c r="CY20" i="17"/>
  <c r="CY19" i="17"/>
  <c r="CY18" i="17"/>
  <c r="CY17" i="17"/>
  <c r="CY13" i="17"/>
  <c r="CY12" i="17"/>
  <c r="CY11" i="17"/>
  <c r="CY10" i="17"/>
  <c r="A22" i="18" s="1"/>
  <c r="CY9" i="17"/>
  <c r="CY8" i="17"/>
  <c r="CY5" i="17"/>
  <c r="F6" i="18" s="1"/>
  <c r="CY4" i="17"/>
  <c r="J14" i="18" s="1"/>
  <c r="H64" i="18"/>
  <c r="I15" i="17"/>
  <c r="DC15" i="17" s="1"/>
  <c r="H15" i="17"/>
  <c r="G15" i="17"/>
  <c r="F15" i="17"/>
  <c r="E15" i="17"/>
  <c r="D15" i="17"/>
  <c r="C15" i="17"/>
  <c r="G3" i="27" l="1"/>
  <c r="C3" i="32"/>
  <c r="A20" i="18"/>
  <c r="G3" i="22"/>
  <c r="F3" i="24"/>
  <c r="C3" i="26"/>
  <c r="D3" i="28"/>
  <c r="D3" i="30"/>
  <c r="A17" i="18"/>
  <c r="C2" i="32"/>
  <c r="D2" i="30"/>
  <c r="D2" i="28"/>
  <c r="C2" i="26"/>
  <c r="G2" i="27"/>
  <c r="F2" i="24"/>
  <c r="G2" i="22"/>
  <c r="A63" i="18"/>
  <c r="F9" i="18"/>
</calcChain>
</file>

<file path=xl/sharedStrings.xml><?xml version="1.0" encoding="utf-8"?>
<sst xmlns="http://schemas.openxmlformats.org/spreadsheetml/2006/main" count="1144" uniqueCount="449">
  <si>
    <t>СОВЕТ ДЕПУТАТОВ</t>
  </si>
  <si>
    <t>Поселение в.п</t>
  </si>
  <si>
    <t>БЕНО-ЮРТОВСКОГО</t>
  </si>
  <si>
    <t>НАДТЕРЕЧНОГО МУНИЦИПАЛЬНОГО РАЙОНА</t>
  </si>
  <si>
    <t>Бено-Юрт</t>
  </si>
  <si>
    <t>Поселение</t>
  </si>
  <si>
    <t>Бено-Юртовского</t>
  </si>
  <si>
    <t>Поселение В.П.</t>
  </si>
  <si>
    <t>Доходы всего</t>
  </si>
  <si>
    <t>сельского поселения</t>
  </si>
  <si>
    <t>Фамилия и инициалы Главы</t>
  </si>
  <si>
    <t>БРАТСКОГО</t>
  </si>
  <si>
    <t>Братское</t>
  </si>
  <si>
    <t>Братского</t>
  </si>
  <si>
    <t>ВЕРХНЕНАУРСКОГО</t>
  </si>
  <si>
    <t>Верхний Наур</t>
  </si>
  <si>
    <t>Верхненаурского</t>
  </si>
  <si>
    <t>Х.М. Лечиев</t>
  </si>
  <si>
    <t>Гвардейское</t>
  </si>
  <si>
    <t>ГВАРДЕЙСКОГО</t>
  </si>
  <si>
    <t>Гвардейского</t>
  </si>
  <si>
    <t>К.А. Цокаев</t>
  </si>
  <si>
    <t>ЗЕБИР-ЮРТОВСКОГО</t>
  </si>
  <si>
    <t>Зебир-Юртовского</t>
  </si>
  <si>
    <t>Зебир-Юрт</t>
  </si>
  <si>
    <t>А-М.Х. Исраилов</t>
  </si>
  <si>
    <t>ЗНАМЕНСКОГО</t>
  </si>
  <si>
    <t>Знаменское</t>
  </si>
  <si>
    <t>Знаменского</t>
  </si>
  <si>
    <t>С.А. Аслаханов</t>
  </si>
  <si>
    <t>КАЛАУССКОГО</t>
  </si>
  <si>
    <t>Калаус</t>
  </si>
  <si>
    <t>Калаусского</t>
  </si>
  <si>
    <t>А.Х. Гайрабеков</t>
  </si>
  <si>
    <t>КОМАРОВСКОГО</t>
  </si>
  <si>
    <t>Комарово</t>
  </si>
  <si>
    <t>Комаровского</t>
  </si>
  <si>
    <t>У.Ю. Дельбиев</t>
  </si>
  <si>
    <t>НАДТЕРЕЧНЕНСКОГО</t>
  </si>
  <si>
    <t>Надтеречное</t>
  </si>
  <si>
    <t>Надтеречненского</t>
  </si>
  <si>
    <t>С.Н. Алероев</t>
  </si>
  <si>
    <t>ПОДГОРНЕНСКОГО</t>
  </si>
  <si>
    <t>Подгорное</t>
  </si>
  <si>
    <t>Подгорненского</t>
  </si>
  <si>
    <t>Я.С. Самбиев</t>
  </si>
  <si>
    <t>МЕКЕН-ЮРТОВСКОГО</t>
  </si>
  <si>
    <t>Мекен-Юртовского</t>
  </si>
  <si>
    <t>Мекен-Юрт</t>
  </si>
  <si>
    <t>А.Н. Гинаев</t>
  </si>
  <si>
    <t>ГОРАГОРСКОГО</t>
  </si>
  <si>
    <t>Горагорского</t>
  </si>
  <si>
    <t>Горагорский</t>
  </si>
  <si>
    <t>С.А. Богаев</t>
  </si>
  <si>
    <t xml:space="preserve">Решение № </t>
  </si>
  <si>
    <t>Число(день) принятия Решения</t>
  </si>
  <si>
    <t>Предельный объем долга 2022</t>
  </si>
  <si>
    <t>Предельный объем долга 2023</t>
  </si>
  <si>
    <t>Предельный объем долга 2024</t>
  </si>
  <si>
    <t>Глава</t>
  </si>
  <si>
    <t>Постановление о полномочиях</t>
  </si>
  <si>
    <t>??</t>
  </si>
  <si>
    <t>Дотация 2023</t>
  </si>
  <si>
    <t>Дотация 2024</t>
  </si>
  <si>
    <t>166/1 от 14.11.2021 года</t>
  </si>
  <si>
    <t>147/1 от 15.11.2021 года</t>
  </si>
  <si>
    <t>59/2 от 14 .11. 2021 года</t>
  </si>
  <si>
    <t>23 от 14.11.2021 года</t>
  </si>
  <si>
    <t>20 от 14.11.2021</t>
  </si>
  <si>
    <t>106 от 14.11.2021</t>
  </si>
  <si>
    <t>122/1 от 14.11.2021 года</t>
  </si>
  <si>
    <t>19 от 14.11.2021 года</t>
  </si>
  <si>
    <t>87/1 от 14.11.2021 года</t>
  </si>
  <si>
    <t>Надтеречненское</t>
  </si>
  <si>
    <t>297/1 от 14.11.2021 года</t>
  </si>
  <si>
    <t>Номер решения</t>
  </si>
  <si>
    <t>Число даты утверждения</t>
  </si>
  <si>
    <t>ФИО Главы поселения</t>
  </si>
  <si>
    <t>Выбор поселелния</t>
  </si>
  <si>
    <t>1 01 02010 01 0000 110</t>
  </si>
  <si>
    <t>1 01 02020 01 0000 110</t>
  </si>
  <si>
    <t>1 01 02030 01 0000 110</t>
  </si>
  <si>
    <t>1 05 01011 01 0000 110</t>
  </si>
  <si>
    <t>1 05 01021 01 0000 110</t>
  </si>
  <si>
    <t>1 05 03010 01 0000 110</t>
  </si>
  <si>
    <t>1 06 01030 10 0000 110</t>
  </si>
  <si>
    <t>1 06 06033 10 0000 110</t>
  </si>
  <si>
    <t>1 06 06043 10 0000 110</t>
  </si>
  <si>
    <t>1 11 05025 10 0000 120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</si>
  <si>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</si>
  <si>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</si>
  <si>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</si>
  <si>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</si>
  <si>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</si>
  <si>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Единый сельскохозяйственный налог</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</si>
  <si>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</si>
  <si>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 с организаций, обладающих земельным участком, расположенным в границах сельских поселений</t>
  </si>
  <si>
    <t>Земельный налог с физических лиц, обладающих земельным участком, расположенным в границах сельских поселений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</si>
  <si>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</si>
  <si>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Налоговые неналоговые</t>
  </si>
  <si>
    <t>Доходы 2023 всего</t>
  </si>
  <si>
    <t>Нал. Не нал. Доходы 2023</t>
  </si>
  <si>
    <t>Субвенция ВУС 2023</t>
  </si>
  <si>
    <t>Доатция 2023</t>
  </si>
  <si>
    <t>Субвенция 2023</t>
  </si>
  <si>
    <t>Доходы 2024 всего</t>
  </si>
  <si>
    <t>Нал. Не нал. Доходы 2024</t>
  </si>
  <si>
    <t>Субвенция ВУС 2024</t>
  </si>
  <si>
    <t>Доходы 2025 всего</t>
  </si>
  <si>
    <t>Нал. Не нал. Доходы 2025</t>
  </si>
  <si>
    <t>Дотация 2025</t>
  </si>
  <si>
    <t>Субвенция ВУС 2025</t>
  </si>
  <si>
    <t xml:space="preserve">0104 0020090011 121  </t>
  </si>
  <si>
    <t xml:space="preserve">0104 0020090011 129  </t>
  </si>
  <si>
    <t xml:space="preserve">0104 0020090012 242  </t>
  </si>
  <si>
    <t xml:space="preserve">0104 0020090013 242  </t>
  </si>
  <si>
    <t xml:space="preserve">0104 0020090014 244  </t>
  </si>
  <si>
    <t xml:space="preserve">0104 0020090014 247  </t>
  </si>
  <si>
    <t xml:space="preserve">0104 0020090015 244  </t>
  </si>
  <si>
    <t xml:space="preserve">0104 0020090016 851  </t>
  </si>
  <si>
    <t xml:space="preserve">0104 0020090017 244  </t>
  </si>
  <si>
    <t xml:space="preserve">0104 0020090019 242  </t>
  </si>
  <si>
    <t xml:space="preserve">0104 0020090019 244  </t>
  </si>
  <si>
    <t xml:space="preserve">0104 0020090019 853  </t>
  </si>
  <si>
    <t xml:space="preserve">0111 0700005020 870  </t>
  </si>
  <si>
    <t xml:space="preserve">0203 0010051181 121  </t>
  </si>
  <si>
    <t xml:space="preserve">0203 0010051181 129  </t>
  </si>
  <si>
    <t xml:space="preserve">0203 0010051189 242  </t>
  </si>
  <si>
    <t xml:space="preserve">0203 0010051189 244  </t>
  </si>
  <si>
    <t xml:space="preserve">0203 0010051189 247  </t>
  </si>
  <si>
    <t xml:space="preserve">0310 2180000000 244  </t>
  </si>
  <si>
    <t xml:space="preserve">0503 6000001000 247  </t>
  </si>
  <si>
    <t xml:space="preserve">0503 6000005000 244  </t>
  </si>
  <si>
    <t xml:space="preserve">0503 6000005000 540  </t>
  </si>
  <si>
    <t xml:space="preserve">0801 5170007000 540  </t>
  </si>
  <si>
    <t xml:space="preserve">1403 5210006000 521  </t>
  </si>
  <si>
    <t>Фонд оплаты труда работников органов местного самоуправления</t>
  </si>
  <si>
    <t>Оплата услуг связи</t>
  </si>
  <si>
    <t>Оплата договоров гражданско-правового характера</t>
  </si>
  <si>
    <t>Оплата коммунальных услуг</t>
  </si>
  <si>
    <t>Оплата услуг вневедомственной охраны</t>
  </si>
  <si>
    <t>Уплата налога на имущество организаций</t>
  </si>
  <si>
    <t>Оплата услуг по аренде имущества</t>
  </si>
  <si>
    <t>Иные расходы</t>
  </si>
  <si>
    <t>Резервные фонды</t>
  </si>
  <si>
    <t>ФОТ ВУС</t>
  </si>
  <si>
    <t>ИКТ ВУС</t>
  </si>
  <si>
    <t>ПРОЧИЕ ВУС</t>
  </si>
  <si>
    <t>КУ ВУС</t>
  </si>
  <si>
    <t>ПОЖАРНАЯ БЕЗ</t>
  </si>
  <si>
    <t>УЛИЧНОЕ</t>
  </si>
  <si>
    <t>БЛАГОУСТРОЙСТВО</t>
  </si>
  <si>
    <t>ИМБТ БЛ</t>
  </si>
  <si>
    <t>РОК</t>
  </si>
  <si>
    <t>СУБС РЕСП</t>
  </si>
  <si>
    <t>ВСЕГО РАСХОДЫ</t>
  </si>
  <si>
    <t>Усл. Утв. Расходы</t>
  </si>
  <si>
    <t>ИМБТ РОК</t>
  </si>
  <si>
    <t>Статья 6. Бюджетные кредиты из районного бюджета</t>
  </si>
  <si>
    <t>Верх Объем расходов на обслуживание муницип. долга (тыс.руб.) 2024</t>
  </si>
  <si>
    <t>Верх Объем расходов на обслуживание муницип. долга (тыс.руб.) 2025</t>
  </si>
  <si>
    <t>Верх Объем расходов на обслуживание муницип. долга (тыс.руб.) 2023</t>
  </si>
  <si>
    <t>Пред на обслуж МД 2023</t>
  </si>
  <si>
    <t>Пред на обслуж МД 2024</t>
  </si>
  <si>
    <t>Пред на обслуж МД 2025</t>
  </si>
  <si>
    <t xml:space="preserve">  1. Установить, что акты Главы сельского поселения и Главы Администрации сельского поселения, принятые после вступления в силу настоящего решения и влекущие дополнительные расходы, не предусмотренные настоящим решением, должны предусматривать источник их финансирования.</t>
  </si>
  <si>
    <t xml:space="preserve">  3. Установить, что остатки средств бюджета сельского поселения на начало текущего финансового года, за исключением остатков неиспользованных межбюджетных трансфертов, предоставленных бюджету сельского поселения в форме субсидий, субвенций и иных межбюджетных трансфертов, имеющих целевое назначение, в объеме до 100 процентов могут направляться на покрытие временных кассовых разрывов, возникающих при исполнении бюджета сельского поселения.</t>
  </si>
  <si>
    <t>Статья 9. Источники финансирования дефицита бюджета сельского поселения</t>
  </si>
  <si>
    <t>Статья 10. Заключительные положения и вступление в силу настоящего решения</t>
  </si>
  <si>
    <t>Настоящее решение Совета депутатов сельского поселения подлежит обнародованию.</t>
  </si>
  <si>
    <t>Приложение 2</t>
  </si>
  <si>
    <t>Ед. изм.: тыс.руб.</t>
  </si>
  <si>
    <t>Код бюджетной классификации РФ</t>
  </si>
  <si>
    <t>Наименование доходов</t>
  </si>
  <si>
    <t>Сумма на год</t>
  </si>
  <si>
    <t>1 00 00000 00 0000 000</t>
  </si>
  <si>
    <t>НАЛОГОВЫЕ И НЕНАЛОГОВЫЕ ДОХОДЫ</t>
  </si>
  <si>
    <t>Налоговые доходы</t>
  </si>
  <si>
    <t>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</si>
  <si>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</si>
  <si>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</si>
  <si>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</si>
  <si>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</si>
  <si>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</si>
  <si>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</si>
  <si>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2 02 15001 00 0000 150</t>
  </si>
  <si>
    <t>Дотации на выравнивание бюджетной обеспеченности</t>
  </si>
  <si>
    <t>2 02 15001 10 0000 150</t>
  </si>
  <si>
    <t>Дотации бюджетам сельских поселений на выравнивание бюджетной обеспеченности из бюджета субъекта Российской Федерации</t>
  </si>
  <si>
    <t>2 02 30000 00 0000 150</t>
  </si>
  <si>
    <t>Субвенции бюджетам бюджетной системы Российской Федерации</t>
  </si>
  <si>
    <t>2 02 35118 10 0000 150</t>
  </si>
  <si>
    <t>Субвенции бюджетам сельских поселений на осуществление первичного воинского учета на территориях, где отсутствуют военные комиссариаты</t>
  </si>
  <si>
    <t>ВСЕГО ДОХОДОВ</t>
  </si>
  <si>
    <t>Доатция 2024</t>
  </si>
  <si>
    <t>Субвенция 2025</t>
  </si>
  <si>
    <t>Субвенция 2024</t>
  </si>
  <si>
    <t>Доатция 2025</t>
  </si>
  <si>
    <t>Приложение 1</t>
  </si>
  <si>
    <t>Приложение 3</t>
  </si>
  <si>
    <t xml:space="preserve">
Наименование</t>
  </si>
  <si>
    <t>Код ГРБС</t>
  </si>
  <si>
    <t>Код раздела</t>
  </si>
  <si>
    <t>Код подраздела</t>
  </si>
  <si>
    <t>Код целевой статьи</t>
  </si>
  <si>
    <t>Код вида расходов</t>
  </si>
  <si>
    <t>Сумма</t>
  </si>
  <si>
    <t>01</t>
  </si>
  <si>
    <t>04</t>
  </si>
  <si>
    <t>Центральный аппарат</t>
  </si>
  <si>
    <t>121</t>
  </si>
  <si>
    <t>129</t>
  </si>
  <si>
    <t>Закупка энергетических ресурсов</t>
  </si>
  <si>
    <t>247</t>
  </si>
  <si>
    <t>242</t>
  </si>
  <si>
    <t>Прочая закупка товаров, работ и услуг</t>
  </si>
  <si>
    <t>244</t>
  </si>
  <si>
    <t>11</t>
  </si>
  <si>
    <t>Резервные средства</t>
  </si>
  <si>
    <t>870</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</si>
  <si>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</si>
  <si>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</si>
  <si>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</si>
  <si>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</si>
  <si>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Защита населения и территории от чрезвычайных ситуаций природного и техногенного характера, пожарная безопасность</t>
  </si>
  <si>
    <t>10</t>
  </si>
  <si>
    <t>05</t>
  </si>
  <si>
    <t>Благоустройство</t>
  </si>
  <si>
    <t>08</t>
  </si>
  <si>
    <t>Культура</t>
  </si>
  <si>
    <t>Иные межбюджетные трансферты</t>
  </si>
  <si>
    <t>540</t>
  </si>
  <si>
    <t>КОД ГРБС</t>
  </si>
  <si>
    <t>671</t>
  </si>
  <si>
    <t>662</t>
  </si>
  <si>
    <t>663</t>
  </si>
  <si>
    <t>664</t>
  </si>
  <si>
    <t>665</t>
  </si>
  <si>
    <t>666</t>
  </si>
  <si>
    <t>667</t>
  </si>
  <si>
    <t>668</t>
  </si>
  <si>
    <t>669</t>
  </si>
  <si>
    <t>670</t>
  </si>
  <si>
    <t>ОБЩЕГОСУДАРСТВЕННЫЕ ВОПРОСЫ</t>
  </si>
  <si>
    <t>0020000000</t>
  </si>
  <si>
    <t>0020090011</t>
  </si>
  <si>
    <t>Фонд оплаты труда государственных (муниципальных) органов</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</si>
  <si>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</si>
  <si>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0020090012</t>
  </si>
  <si>
    <t>Закупка товаров, работ и услуг в сфере информационно-коммуникационных технологий</t>
  </si>
  <si>
    <t>0020090013</t>
  </si>
  <si>
    <t>0020090014</t>
  </si>
  <si>
    <t>0020090015</t>
  </si>
  <si>
    <t>0020090016</t>
  </si>
  <si>
    <t>Уплата налога на имущество организаций и земельного налога</t>
  </si>
  <si>
    <t>851</t>
  </si>
  <si>
    <t>0020090019</t>
  </si>
  <si>
    <t>0700000000</t>
  </si>
  <si>
    <t>Резервные фонды местной администрации</t>
  </si>
  <si>
    <t>0700005020</t>
  </si>
  <si>
    <t>НАЦИОНАЛЬНАЯ ОБОРОНА</t>
  </si>
  <si>
    <t>0010000000</t>
  </si>
  <si>
    <t>Оплата труда и начисления на выплаты по оплате труда</t>
  </si>
  <si>
    <t>0010051181</t>
  </si>
  <si>
    <t>Прочие закупки товаров, работ и услуг для муниципальных нужд</t>
  </si>
  <si>
    <t>0010051189</t>
  </si>
  <si>
    <t>НАЦИОНАЛЬНАЯ БЕЗОПАСНОСТЬ И ПРАВООХРАНИТЕЛЬНАЯ ДЕЯТЕЛЬНОСТЬ</t>
  </si>
  <si>
    <t>ЖИЛИЩНО-КОММУНАЛЬНОЕ ХОЗЯЙСТВО</t>
  </si>
  <si>
    <t>6000000000</t>
  </si>
  <si>
    <t>Уличное освещение</t>
  </si>
  <si>
    <t>6000001000</t>
  </si>
  <si>
    <t>6000005000</t>
  </si>
  <si>
    <t>КУЛЬТУРА, КИНЕМАТОГРАФИЯ</t>
  </si>
  <si>
    <t>Иные межбюджетные трансферты на осуществление полномочий по решению вопросов местного значения из бюджетов поселений бюджету муниципального района, переданных на основании соглашений</t>
  </si>
  <si>
    <t>5170007000</t>
  </si>
  <si>
    <t>Приложение 4</t>
  </si>
  <si>
    <t>Наименование</t>
  </si>
  <si>
    <t>Приложение 5</t>
  </si>
  <si>
    <t>2) для покрытия временных кассовых разрывов, возникающих при исполнении бюджета сельского поселения, на срок до одного года.
  3. Установить, что Администрация сельского поселения является уполномоченным органом сельского поселения по привлечению от имени сельского поселения из районного бюджета бюджетных кредитов.</t>
  </si>
  <si>
    <t>Приложение 7</t>
  </si>
  <si>
    <t>Муниципальные внутренние заимствования</t>
  </si>
  <si>
    <t>Привлечение</t>
  </si>
  <si>
    <t>Погашение</t>
  </si>
  <si>
    <t>Бюджетные кредиты от других бюджетов бюджетной системы Российской Федерации, всего</t>
  </si>
  <si>
    <t>в том числе:</t>
  </si>
  <si>
    <t>бюджетные кредиты из республиканского бюджета</t>
  </si>
  <si>
    <t>Итого</t>
  </si>
  <si>
    <t>Приложение 8</t>
  </si>
  <si>
    <t>Ед. изм. тыс.руб.</t>
  </si>
  <si>
    <t>№ п/п</t>
  </si>
  <si>
    <t>Направление (цель) гарантирования</t>
  </si>
  <si>
    <t>Категории (группы) принципалов</t>
  </si>
  <si>
    <t>Общий объем предоставляемых гарантий</t>
  </si>
  <si>
    <t>Наличие права регрессного требования</t>
  </si>
  <si>
    <t>Обеспечение исполнения обязательств принципала по удовлетворению регрессных требований гаранта</t>
  </si>
  <si>
    <t>Иные условия предоставления и исполнения муниципальных гарантий бюджета сельского поселения</t>
  </si>
  <si>
    <t>Итого:</t>
  </si>
  <si>
    <t>Исполнение муниципальных гарантий бюджета сельского поселения</t>
  </si>
  <si>
    <t>Объем бюджетных ассигнований на исполнение муниципальных гарантий бюджета сельского поселения по возможным гарантийным случаям</t>
  </si>
  <si>
    <t>За счет источников финансирования дефицита бюджета сельского поселения</t>
  </si>
  <si>
    <t>За счет расходов бюджета сельского поселения</t>
  </si>
  <si>
    <t>1.2 Общий объем бюджетных ассигнований, предусмотренных на исполнение муниципальных гарантий</t>
  </si>
  <si>
    <t>Изменение остатков средств на счетах по учету средств бюджетов</t>
  </si>
  <si>
    <t xml:space="preserve">Код бюджетной классификации Российской Федерации </t>
  </si>
  <si>
    <t>Наименование дохода</t>
  </si>
  <si>
    <t>Норматив отчисления, %</t>
  </si>
  <si>
    <t>1 11 02033 10 0000 120</t>
  </si>
  <si>
    <t>Доходы от размещения временно свободных средств бюджетов сельских поселений</t>
  </si>
  <si>
    <t>1 13 01995 10 0000 130</t>
  </si>
  <si>
    <t>Прочие доходы от оказания платных услуг (работ) получателями средств бюджетов поселений</t>
  </si>
  <si>
    <t>1 13 02995 10 0000 130</t>
  </si>
  <si>
    <t>Прочие доходы от компенсации затрат бюджетов сельских поселений</t>
  </si>
  <si>
    <t>1 14 01050 10 0000 410</t>
  </si>
  <si>
    <t>Доходы от продажи квартир, находящихся в собственности сельских поселений</t>
  </si>
  <si>
    <t>1 14 02050 10 0000 410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</si>
  <si>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</si>
  <si>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1 14 02050 10 0000 440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</si>
  <si>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</si>
  <si>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</si>
  <si>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</si>
  <si>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</si>
  <si>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1 14 06013 10 0000 430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</si>
  <si>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</si>
  <si>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1 14 06025 10 0000 430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</si>
  <si>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</si>
  <si>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1 15 02050 10 0000 140</t>
  </si>
  <si>
    <t>Платежи, взимаемые органами местного самоуправления (организациями) сельских поселений за выполнение определенных функций</t>
  </si>
  <si>
    <t>1 17 01050 10 0000 180</t>
  </si>
  <si>
    <t>Невыясненные поступления, зачисляемые в бюджеты сельских поселений</t>
  </si>
  <si>
    <t>1 17 05050 10 0000 180</t>
  </si>
  <si>
    <t>Прочие неналоговые доходы бюджетов сельских поселений</t>
  </si>
  <si>
    <t>п/п</t>
  </si>
  <si>
    <t xml:space="preserve">Итого </t>
  </si>
  <si>
    <t>Благ</t>
  </si>
  <si>
    <t>Респ субс</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</si>
  <si>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t>
  </si>
  <si>
    <t>Наименование трансферта</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</si>
  <si>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t>
  </si>
  <si>
    <t xml:space="preserve">Субсидия бюджету Чеченской Республики в соответствии со ст. 142.2 Бюджетного кодекса Российской Федерации </t>
  </si>
  <si>
    <t xml:space="preserve"> </t>
  </si>
  <si>
    <t xml:space="preserve">  </t>
  </si>
  <si>
    <t>ИМБ Бл</t>
  </si>
  <si>
    <t>Субс Респ</t>
  </si>
  <si>
    <t>2 п имбт</t>
  </si>
  <si>
    <t>ИМБТ 1 п</t>
  </si>
  <si>
    <t xml:space="preserve">  6. Установить, что средства, зачисленные в бюджет сельского поселения от уплаты неналоговых платежей, предусмотренных пунктом 1 статьи 16.6, пунктом 1 статьи 75.1, пунктом 1 статьи 78.2 Федерального закона от 10 января 2002 года № 7-ФЗ «Об охране окружающей среды», направляются на выявление и оценку объектов накопленного вреда окружающей среде и (или) организацию работ по ликвидации накопленного вреда окружающей среде в случае наличия на территории сельского поселения объектов накопленного вреда окружающей среде, </t>
  </si>
  <si>
    <t xml:space="preserve">а в случае их отсутствия - на иные мероприятия по предотвращению и (или) снижению негативного воздействия хозяйственной и иной деятельности на окружающую среду, сохранению и восстановлению природной среды, рациональному использованию и воспроизводству природных ресурсов, обеспечению экологической безопасности в соответствии с планом мероприятий, утвержденным уполномоченным органом государственной власти Чеченской Республики по согласованию с уполномоченным федеральным органом исполнительной власти. </t>
  </si>
  <si>
    <t>1) перераспределение бюджетных ассигнований при изменении кодов классификации расходов бюджетов;
2) перераспределение бюджетных ассигнований в целях финансового обеспечения расходных обязательств, софинансируемых из бюджетов бюджетной системы Российской Федерации и иных источников.</t>
  </si>
  <si>
    <t xml:space="preserve">  5. Администрация сельского поселения вправе установить ограничения на доведение до главных распорядителей средств бюджета сельского поселения лимитов бюджетных обязательств по расходам, за исключением расходов, включенных в перечень, предусмотренный пунктом 4 настоящей статьи, а также расходов, источником финансового обеспечения которых являются субсидии, субвенции и иные межбюджетные трансферты, имеющие целевое назначение, из бюджетов бюджетной системы Российской Федерации и бюджетные ассигнования дорожного фонда сельского поселения.</t>
  </si>
  <si>
    <t>1 01 02080 01 0000 110</t>
  </si>
  <si>
    <t>1 01 02130 01 0000 110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</si>
  <si>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</si>
  <si>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</si>
  <si>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</si>
  <si>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</si>
  <si>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</si>
  <si>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Ввести данные и распечать Решение и приложения</t>
  </si>
  <si>
    <t>30</t>
  </si>
  <si>
    <t>Программа муниципальных гарантий бюджета сельского поселения на 2026 год</t>
  </si>
  <si>
    <t>Программа муниципальных внутренних заимствований бюджета бюджета сельского поселения  на 2026 год</t>
  </si>
  <si>
    <t>Статья 4. Бюджетные ассигнования бюджета сельского поселения на 2026 год</t>
  </si>
  <si>
    <t>Статья 5. Межбюджетные трансферты бюджетам РФ на 2026 год</t>
  </si>
  <si>
    <t xml:space="preserve">  2. Установить, что бюджетные кредиты бюджету сельского поселения предоставляются из районного бюджета в пределах общего объема бюджетных ассигнований на указанные цели, предусмотренных Программой муниципальных внутренних заимствований сельского поселения на 2026 год:
1) для частичного покрытия дефицитов бюджета сельского поселения на срок до трех лет;</t>
  </si>
  <si>
    <t>Объем и распределение бюджетных ассигнований бюджета сельского поселения по разделам, подразделам, целевым статьям, видам расходов классификации расходов бюджетов на 2026 год</t>
  </si>
  <si>
    <t>Ведомственная структура расходов бюджета сельского поселения на 2026 год</t>
  </si>
  <si>
    <t>Поступление доходов в бюджет сельского поселения на 2026 год</t>
  </si>
  <si>
    <t xml:space="preserve">  1. Утвердить прогноз поступления доходов в бюджет сельского поселения  на 2026 год согласно приложению 1 к настоящему решению.</t>
  </si>
  <si>
    <t xml:space="preserve">  1. Утвердить ведомственную структуру расходов бюджета сельского поселения:
1) на 2026 год согласно приложению 2 к настоящему решению;
  2. Утвердить распределение бюджетных ассигнований бюджета Сельского поселения по разделам, подразделам, целевым статьям (муниципальным программам и непрограммным направлениям деятельности), группам видов расходов классификации расходов бюджетов:</t>
  </si>
  <si>
    <t>1) на 2026 год согласно приложению 3 к настоящему решению;</t>
  </si>
  <si>
    <t xml:space="preserve">  3. Утвердить общий объем бюджетных ассигнований на исполнение публичных нормативных обязательств на 2026 год в сумме 0 тыс. рублей.
  4. Утвердить в составе бюджетных ассигнований бюджета сельского поселения на 2026 год бюджетные ассигнования резервного фонда Администрации сельского поселения в сумме 5,000 тыс. рублей.</t>
  </si>
  <si>
    <t xml:space="preserve">  1. Установить, что Администрация сельского поселения в 2026 году вправе привлекать из районного бюджета бюджетные кредиты в соответствии с заключенным соглашением между Финансовым управление Надтеречного муниципального района и Администрацией сельского поселения.</t>
  </si>
  <si>
    <t xml:space="preserve">      Статья 7. Муниципальные внутренние заимствования сельского поселения, муниципальный внутренний долг сельского поселения в 2026 году</t>
  </si>
  <si>
    <t xml:space="preserve">  4. Утвердить объем расходов на обслуживание муниципального внутреннего долга сельского поселения:
1) на 2026 год в сумме 0 тыс. рублей;</t>
  </si>
  <si>
    <t xml:space="preserve">  5. Утвердить верхний предел муниципального внутреннего долга сельского поселения:
1) на 1 января 2027 года в сумме 0 тыс. рублей, в том числе верхний предел долга по муниципальным гарантиям сельского поселения в сумме 0 тыс. рублей.</t>
  </si>
  <si>
    <t xml:space="preserve">  2. Установить, что в соответствии с пунктом 8 статьи 217 Бюджетного кодекса Российской Федерации и решением Совета депутатов сельского поселения Об утверждении Положения о бюджетном устройстве и бюджетном процессе дополнительными основаниями для внесения в 2026 году изменений в показатели сводной бюджетной росписи бюджета сельского поселения являются:</t>
  </si>
  <si>
    <t xml:space="preserve">  4. Администрация сельского поселения вправе определить перечень расходов бюджета сельского поселения, подлежащих первоочередному финансированию в 2026 году.</t>
  </si>
  <si>
    <t xml:space="preserve">  1. Утвердить источники финансирования дефицита бюджета сельского поселения на 2026 год согласно приложению 6 к настоящему Решению.</t>
  </si>
  <si>
    <t>Настоящее решение вступает в силу с 1 января 2026 года.</t>
  </si>
  <si>
    <t>Статья 8. Особенности исполнения бюджета сельского поселения в 2026 году</t>
  </si>
  <si>
    <t>Источники внутреннего финансирования дефицита бюджета сельского поселения, перечень статей и видов источников финансирования дефицита бюджета сельского поселения на 2026 год</t>
  </si>
  <si>
    <t>1.1 Перечень подлежащих предоставлению муниципальных гарантий бюджета сельского поселения в 2026 году</t>
  </si>
  <si>
    <t>бюджета  сельского поселения по возможным гарантийным случаям в 2026 году</t>
  </si>
  <si>
    <t>Гарантийное обеспечение по обязательствам юридических лиц по кредитам кредитных организаций, предоставленным на цели, установленные Администрацией  сельского поселения</t>
  </si>
  <si>
    <t>Юридические лица, осуществляющие инвестиционную деятельность на территории сельского поселения</t>
  </si>
  <si>
    <t>Распределение межбюджетных трансфертов предоставляемых из бюджета сельского поселения на 2026 год</t>
  </si>
  <si>
    <t xml:space="preserve">Размер на 2026 год </t>
  </si>
  <si>
    <t>Нормативы отчислений в бюджет сельского поселения на 2026 год</t>
  </si>
  <si>
    <t>Приложение 6</t>
  </si>
  <si>
    <t xml:space="preserve">  1. Установить, что доходы бюджета сельского поселения на 2026 год формируются за счет федеральных налогов и сборов, в том числе предусмотренных специальными налоговыми режимами, региональных налогов и сборов и неналоговых доходов в соответствии с нормативами, установленными Бюджетным кодексом Российской Федерации, Федеральным законом «О федеральном бюджете на 2026 год и на плановый период 2027 и 2028 годов», законом Чеченской Республики «О республиканском бюджете на 2026 год и на плановый период 2027 и 2028 годов» с учетом нормативов отчислений в местные бюджеты, установленных законом Чеченской Республики от 19 ноября 2009 года № 63-РЗ «Об установлении нормативов отчислений в местные бюджеты от налогов, предусмотренных специальными налоговыми режимами, и региональных налогов, подлежащих зачислению в республиканский бюджет» и приложением 7 к настоящему решению.</t>
  </si>
  <si>
    <t xml:space="preserve">  1. Утвердить Программу муниципальных внутренних заимствований сельского поселения согласно приложению 4 к настоящему решению:
1) на 2026 год  к настоящему решению.
  2. Утвердить Программу муниципальных гарантий сельского поселения согласно приложению 5 к настоящему решению: 
1) на 2026 год.</t>
  </si>
  <si>
    <t>2. Утвердить распределение межбюджетных трансфертов:
1) на 2026 год согласно приложению 8 к настоящему решению.</t>
  </si>
  <si>
    <t>2 02 20000 10 0000 150</t>
  </si>
  <si>
    <t>Субсидии от других бюджетов бюджетной системы РФ</t>
  </si>
  <si>
    <t>2 02 25555 10 0000 150</t>
  </si>
  <si>
    <t>Субсидии бюджетам сельских поселений на реализацию программ формирования современной городской среды</t>
  </si>
  <si>
    <t>600И455550</t>
  </si>
  <si>
    <t xml:space="preserve">   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7 286,251 тыс. рублей ежегодно.</t>
  </si>
  <si>
    <t>А.А. Умаров</t>
  </si>
  <si>
    <t>2 02 49999 10 0000 150</t>
  </si>
  <si>
    <t>Иные МБТ</t>
  </si>
  <si>
    <t>Администарция Братского сельского поселения</t>
  </si>
  <si>
    <t>660</t>
  </si>
  <si>
    <t>Функционирование Правительства Российской Федерации, высших исполнительных органов субъектов Российской Федерации, местных администраций</t>
  </si>
  <si>
    <t>ФОТ</t>
  </si>
  <si>
    <t>Связь</t>
  </si>
  <si>
    <t>ГПХ</t>
  </si>
  <si>
    <t>Коммунальные услуги</t>
  </si>
  <si>
    <t>Охрана</t>
  </si>
  <si>
    <t>Иные закупки товаров, работ и услуг для обеспечения государственных (муниципальных) нужд</t>
  </si>
  <si>
    <t>Мероприятия по предупреждению и ликвидации чрезвычайных ситуаций и стихийных бедствий природного и техногенного характера, противопожарные меры</t>
  </si>
  <si>
    <t>2180002000</t>
  </si>
  <si>
    <t>Прочие мероприятия по благоустройствугородских округов и поселений</t>
  </si>
  <si>
    <t xml:space="preserve">Реализация программ формирования современной городской среды
</t>
  </si>
  <si>
    <t>600И400000</t>
  </si>
  <si>
    <t>к решению Совета депутатов Братского сельского поселения</t>
  </si>
  <si>
    <t>О бюджете Братского сельского поселения на 2026 год</t>
  </si>
  <si>
    <t>от « 30 » декабря 2025 г. № 15</t>
  </si>
  <si>
    <t>Наименование показателя</t>
  </si>
  <si>
    <t>Код источника финансирования дефицита  бюджета по бюджетной классификации</t>
  </si>
  <si>
    <t>Сумма на 2026 год</t>
  </si>
  <si>
    <t>Источники финансирования дефицита бюджета - всего</t>
  </si>
  <si>
    <t>источники внутреннего финансирования бюджета</t>
  </si>
  <si>
    <t>000 01 00 00 00 00 0000 000</t>
  </si>
  <si>
    <t>Бюджетные кредиты из других бюджетов бюджетной системы Российской Федерации</t>
  </si>
  <si>
    <t>000 01 03 00 00 00 0000 000</t>
  </si>
  <si>
    <t>Бюджетные кредиты из других бюджетов бюджетной системы Российской Федерации в валюте Российской Федерации</t>
  </si>
  <si>
    <t>000 01 03 01 00 00 0000 000</t>
  </si>
  <si>
    <t>Привлечение бюджетных кредитов из других бюджетов бюджетной системы Российской Федерации в валюте Российской Федерации</t>
  </si>
  <si>
    <t>000 01 03 01 00 00 0000 700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</si>
  <si>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</si>
  <si>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000 01 03 01 00 05 0000 710</t>
  </si>
  <si>
    <t>Погашение бюджетных кредитов, полученных из других бюджетов бюджетной системы Российской Федерации в валюте Российской Федерации</t>
  </si>
  <si>
    <t>00001 03 01 00 00 0000 800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</si>
  <si>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</si>
  <si>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</si>
  <si>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Изменение остатков средств</t>
  </si>
  <si>
    <t>000 01 05 00 00 00 0000 000</t>
  </si>
  <si>
    <t>Увеличение остатков денежных средств финансовых резервов бюджетов муниципальных районов</t>
  </si>
  <si>
    <t>000 01 05 01 01 05 0000 510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</si>
  <si>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</si>
  <si>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</si>
  <si>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</si>
  <si>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000 01 06 01 00 00 0000 000</t>
  </si>
  <si>
    <t>Средства от продажи акций и иных форм участия в капитале, находящихся в государственной и муниципальной собственности</t>
  </si>
  <si>
    <t>000 01 06 01 00 00 0000 630</t>
  </si>
  <si>
    <t>Средства от продажи акций и иных форм участия в капитале, находящихся в собственности муниципальных районов</t>
  </si>
  <si>
    <t>000 01 06 01 00 05 0000 630</t>
  </si>
  <si>
    <t>В ред.Реш.№3-8 от 02.11.2026г.</t>
  </si>
  <si>
    <t xml:space="preserve">                                                                                                                                                            В ред.Реш.№3-8 от 02.11.2026г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</si>
</sst>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00"/>
    <numFmt numFmtId="165" formatCode="#,##0.00000"/>
    <numFmt numFmtId="166" formatCode="0.00000"/>
    <numFmt numFmtId="167" formatCode="#,##0.0"/>
    <numFmt numFmtId="168" formatCode="#,##0.000000000000000000000"/>
  </numFmts>
  <fonts count="35" x14ac:knownFonts="1">
    <font>
      <sz val="11"/>
      <color theme="1"/>
      <name val="Calibri"/>
      <family val="2"/>
      <charset val="204"/>
      <scheme val="minor"/>
    </font>
    <font>
      <sz val="11"/>
      <color theme="1"/>
      <name val="Times New Roman"/>
      <family val="1"/>
      <charset val="204"/>
    </font>
    <font>
      <sz val="14"/>
      <color theme="1"/>
      <name val="Times New Roman"/>
      <family val="1"/>
      <charset val="204"/>
    </font>
    <font>
      <sz val="17"/>
      <color theme="1"/>
      <name val="Times New Roman"/>
      <family val="1"/>
      <charset val="204"/>
    </font>
    <font>
      <sz val="10"/>
      <color theme="1"/>
      <name val="Times New Roman"/>
      <family val="1"/>
      <charset val="204"/>
    </font>
    <font>
      <sz val="14"/>
      <color theme="1"/>
      <name val="Calibri"/>
      <family val="2"/>
      <charset val="204"/>
      <scheme val="minor"/>
    </font>
    <font>
      <b/>
      <sz val="14"/>
      <color theme="1"/>
      <name val="Times New Roman"/>
      <family val="1"/>
      <charset val="204"/>
    </font>
    <font>
      <b/>
      <sz val="11"/>
      <color theme="1"/>
      <name val="Times New Roman"/>
      <family val="1"/>
      <charset val="204"/>
    </font>
    <font>
      <b/>
      <sz val="8"/>
      <color theme="1"/>
      <name val="Times New Roman"/>
      <family val="1"/>
      <charset val="204"/>
    </font>
    <font>
      <sz val="11"/>
      <color theme="1"/>
      <name val="Arial Black"/>
      <family val="2"/>
      <charset val="204"/>
    </font>
    <font>
      <b/>
      <sz val="16"/>
      <color rgb="FFFF0000"/>
      <name val="Times New Roman"/>
      <family val="1"/>
      <charset val="204"/>
    </font>
    <font>
      <sz val="14"/>
      <name val="Times New Roman"/>
      <family val="1"/>
      <charset val="204"/>
    </font>
    <font>
      <sz val="10"/>
      <name val="Arial"/>
      <family val="2"/>
      <charset val="204"/>
    </font>
    <font>
      <sz val="10"/>
      <name val="Times New Roman"/>
      <family val="1"/>
      <charset val="204"/>
    </font>
    <font>
      <sz val="12"/>
      <color theme="1"/>
      <name val="Calibri"/>
      <family val="2"/>
      <charset val="204"/>
      <scheme val="minor"/>
    </font>
    <font>
      <sz val="12"/>
      <name val="Times New Roman"/>
      <family val="1"/>
      <charset val="204"/>
    </font>
    <font>
      <sz val="12"/>
      <color theme="1"/>
      <name val="Times New Roman"/>
      <family val="1"/>
      <charset val="204"/>
    </font>
    <font>
      <sz val="11"/>
      <name val="Times New Roman"/>
      <family val="1"/>
      <charset val="204"/>
    </font>
    <font>
      <b/>
      <sz val="11"/>
      <name val="Times New Roman"/>
      <family val="1"/>
      <charset val="204"/>
    </font>
    <font>
      <sz val="10"/>
      <name val="Arial Cyr"/>
      <charset val="204"/>
    </font>
    <font>
      <b/>
      <sz val="16"/>
      <name val="Times New Roman"/>
      <family val="1"/>
      <charset val="204"/>
    </font>
    <font>
      <b/>
      <sz val="14"/>
      <name val="Times New Roman"/>
      <family val="1"/>
      <charset val="204"/>
    </font>
    <font>
      <sz val="14"/>
      <color rgb="FF000000"/>
      <name val="Times New Roman"/>
      <family val="1"/>
      <charset val="204"/>
    </font>
    <font>
      <b/>
      <sz val="12"/>
      <name val="Times New Roman"/>
      <family val="1"/>
      <charset val="204"/>
    </font>
    <font>
      <sz val="11"/>
      <color theme="1"/>
      <name val="Calibri"/>
      <family val="2"/>
      <charset val="204"/>
      <scheme val="minor"/>
    </font>
    <font>
      <b/>
      <sz val="14"/>
      <color indexed="8"/>
      <name val="Times New Roman"/>
      <family val="1"/>
      <charset val="204"/>
    </font>
    <font>
      <sz val="14"/>
      <color indexed="8"/>
      <name val="Times New Roman"/>
      <family val="1"/>
      <charset val="204"/>
    </font>
    <font>
      <b/>
      <sz val="14"/>
      <color rgb="FF26282F"/>
      <name val="Times New Roman"/>
      <family val="1"/>
      <charset val="204"/>
    </font>
    <font>
      <b/>
      <i/>
      <sz val="36"/>
      <color theme="1"/>
      <name val="Times New Roman"/>
      <family val="1"/>
      <charset val="204"/>
    </font>
    <font>
      <sz val="14"/>
      <color rgb="FF7030A0"/>
      <name val="Times New Roman"/>
      <family val="1"/>
      <charset val="204"/>
    </font>
    <font>
      <sz val="11"/>
      <color rgb="FFFF0000"/>
      <name val="Times New Roman"/>
      <family val="1"/>
      <charset val="204"/>
    </font>
    <font>
      <b/>
      <i/>
      <sz val="20"/>
      <color theme="1"/>
      <name val="Times New Roman"/>
      <family val="1"/>
      <charset val="204"/>
    </font>
    <font>
      <b/>
      <sz val="20"/>
      <color theme="1"/>
      <name val="Times New Roman"/>
      <family val="1"/>
      <charset val="204"/>
    </font>
    <font>
      <b/>
      <sz val="14"/>
      <color rgb="FF7030A0"/>
      <name val="Times New Roman"/>
      <family val="1"/>
      <charset val="204"/>
    </font>
    <font>
      <sz val="8"/>
      <name val="Times New Roman"/>
      <family val="1"/>
      <charset val="204"/>
    </font>
  </fonts>
  <fills count="10">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indexed="9"/>
        <bgColor indexed="64"/>
      </patternFill>
    </fill>
    <fill>
      <patternFill patternType="solid">
        <fgColor theme="0"/>
        <bgColor indexed="64"/>
      </patternFill>
    </fill>
  </fills>
  <borders count="37">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s>
  <cellStyleXfs count="4">
    <xf numFmtId="0" fontId="0" fillId="0" borderId="0"/>
    <xf numFmtId="0" fontId="12" fillId="0" borderId="0"/>
    <xf numFmtId="0" fontId="19" fillId="0" borderId="0"/>
    <xf numFmtId="43" fontId="24" fillId="0" borderId="0" applyFont="0" applyFill="0" applyBorder="0" applyAlignment="0" applyProtection="0"/>
  </cellStyleXfs>
  <cellXfs count="267">
    <xf numFmtId="0" fontId="0" fillId="0" borderId="0" xfId="0"/>
    <xf numFmtId="0" fontId="0" fillId="0" borderId="0" xfId="0" applyAlignment="1">
      <alignment vertical="top"/>
    </xf>
    <xf numFmtId="0" fontId="1" fillId="0" borderId="2" xfId="0" applyFont="1" applyBorder="1" applyAlignment="1">
      <alignment horizontal="left" vertical="center" wrapText="1"/>
    </xf>
    <xf numFmtId="0" fontId="1" fillId="0" borderId="2" xfId="0" applyFont="1" applyFill="1" applyBorder="1" applyAlignment="1">
      <alignment horizontal="left" vertical="center" wrapText="1"/>
    </xf>
    <xf numFmtId="164" fontId="7" fillId="0" borderId="2" xfId="0" applyNumberFormat="1" applyFont="1" applyBorder="1" applyAlignment="1">
      <alignment horizontal="right" vertical="center"/>
    </xf>
    <xf numFmtId="0" fontId="1" fillId="0" borderId="5" xfId="0" applyFont="1" applyBorder="1" applyAlignment="1">
      <alignment horizontal="center" vertical="center"/>
    </xf>
    <xf numFmtId="49" fontId="7" fillId="2" borderId="3" xfId="0" applyNumberFormat="1" applyFont="1" applyFill="1" applyBorder="1" applyAlignment="1" applyProtection="1">
      <alignment horizontal="center" vertical="center"/>
      <protection locked="0"/>
    </xf>
    <xf numFmtId="0" fontId="7" fillId="0" borderId="4" xfId="0" applyFont="1" applyBorder="1" applyAlignment="1">
      <alignment horizontal="center" vertical="center" wrapText="1"/>
    </xf>
    <xf numFmtId="0" fontId="7" fillId="0" borderId="3"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164" fontId="0" fillId="0" borderId="0" xfId="0" applyNumberFormat="1"/>
    <xf numFmtId="164" fontId="8" fillId="3" borderId="2" xfId="0" applyNumberFormat="1" applyFont="1" applyFill="1" applyBorder="1" applyAlignment="1">
      <alignment horizontal="right" vertical="center" wrapText="1"/>
    </xf>
    <xf numFmtId="164" fontId="7" fillId="3" borderId="2" xfId="0" applyNumberFormat="1" applyFont="1" applyFill="1" applyBorder="1" applyAlignment="1">
      <alignment horizontal="right" vertical="center" wrapText="1"/>
    </xf>
    <xf numFmtId="164" fontId="7" fillId="0" borderId="4" xfId="0" applyNumberFormat="1" applyFont="1" applyBorder="1" applyAlignment="1">
      <alignment horizontal="right" vertical="center"/>
    </xf>
    <xf numFmtId="0" fontId="0" fillId="4" borderId="2" xfId="0" applyFill="1" applyBorder="1"/>
    <xf numFmtId="0" fontId="0" fillId="5" borderId="0" xfId="0" applyFill="1"/>
    <xf numFmtId="0" fontId="9" fillId="5" borderId="0" xfId="0" applyFont="1" applyFill="1" applyAlignment="1">
      <alignment horizontal="right" vertical="center"/>
    </xf>
    <xf numFmtId="0" fontId="0" fillId="5" borderId="0" xfId="0" applyFill="1" applyAlignment="1">
      <alignment horizontal="right"/>
    </xf>
    <xf numFmtId="0" fontId="10" fillId="5" borderId="7" xfId="0" applyFont="1" applyFill="1" applyBorder="1" applyAlignment="1">
      <alignment horizontal="center" vertical="center" wrapText="1"/>
    </xf>
    <xf numFmtId="0" fontId="11" fillId="0" borderId="2" xfId="1" applyFont="1" applyBorder="1" applyAlignment="1">
      <alignment horizontal="justify" vertical="top"/>
    </xf>
    <xf numFmtId="0" fontId="1" fillId="0" borderId="4" xfId="0" applyFont="1" applyBorder="1" applyAlignment="1">
      <alignment horizontal="left" vertical="center" wrapText="1"/>
    </xf>
    <xf numFmtId="0" fontId="1" fillId="0" borderId="9" xfId="0" applyFont="1" applyBorder="1" applyAlignment="1">
      <alignment horizontal="center" vertical="center"/>
    </xf>
    <xf numFmtId="0" fontId="11" fillId="0" borderId="6" xfId="1" applyFont="1" applyBorder="1" applyAlignment="1">
      <alignment horizontal="justify" vertical="top"/>
    </xf>
    <xf numFmtId="164" fontId="4" fillId="0" borderId="0" xfId="0" applyNumberFormat="1" applyFont="1" applyBorder="1" applyAlignment="1">
      <alignment horizontal="right" vertical="center"/>
    </xf>
    <xf numFmtId="0" fontId="0" fillId="0" borderId="2" xfId="0" applyBorder="1"/>
    <xf numFmtId="0" fontId="11" fillId="0" borderId="2" xfId="1" applyFont="1" applyFill="1" applyBorder="1" applyAlignment="1">
      <alignment horizontal="justify" vertical="top"/>
    </xf>
    <xf numFmtId="164" fontId="4" fillId="0" borderId="6" xfId="0" applyNumberFormat="1" applyFont="1" applyBorder="1" applyAlignment="1">
      <alignment horizontal="right" vertical="center"/>
    </xf>
    <xf numFmtId="164" fontId="4" fillId="5" borderId="12" xfId="0" applyNumberFormat="1" applyFont="1" applyFill="1" applyBorder="1" applyAlignment="1">
      <alignment horizontal="center" vertical="center" wrapText="1"/>
    </xf>
    <xf numFmtId="164" fontId="4" fillId="5" borderId="12" xfId="0" applyNumberFormat="1" applyFont="1" applyFill="1" applyBorder="1" applyAlignment="1" applyProtection="1">
      <alignment horizontal="center" vertical="center" wrapText="1"/>
    </xf>
    <xf numFmtId="164" fontId="13" fillId="5" borderId="12" xfId="0" applyNumberFormat="1" applyFont="1" applyFill="1" applyBorder="1" applyAlignment="1" applyProtection="1">
      <alignment horizontal="center" vertical="center" wrapText="1"/>
    </xf>
    <xf numFmtId="164" fontId="4" fillId="5" borderId="2" xfId="0" applyNumberFormat="1" applyFont="1" applyFill="1" applyBorder="1" applyAlignment="1">
      <alignment horizontal="right" vertical="center"/>
    </xf>
    <xf numFmtId="164" fontId="4" fillId="5" borderId="16" xfId="0" applyNumberFormat="1" applyFont="1" applyFill="1" applyBorder="1" applyAlignment="1">
      <alignment horizontal="right" vertical="center"/>
    </xf>
    <xf numFmtId="0" fontId="11" fillId="0" borderId="0" xfId="1" applyFont="1" applyFill="1" applyBorder="1" applyAlignment="1">
      <alignment horizontal="justify" vertical="top"/>
    </xf>
    <xf numFmtId="0" fontId="0" fillId="0" borderId="0" xfId="0" applyBorder="1"/>
    <xf numFmtId="0" fontId="0" fillId="0" borderId="0" xfId="0" applyBorder="1" applyAlignment="1">
      <alignment horizontal="center" vertical="center"/>
    </xf>
    <xf numFmtId="0" fontId="11" fillId="0" borderId="2" xfId="1" applyFont="1" applyBorder="1" applyAlignment="1">
      <alignment horizontal="justify"/>
    </xf>
    <xf numFmtId="0" fontId="11" fillId="0" borderId="2" xfId="1" applyFont="1" applyFill="1" applyBorder="1" applyAlignment="1">
      <alignment horizontal="justify"/>
    </xf>
    <xf numFmtId="0" fontId="14" fillId="0" borderId="2" xfId="0" applyFont="1" applyBorder="1"/>
    <xf numFmtId="0" fontId="15" fillId="0" borderId="2" xfId="1" applyFont="1" applyBorder="1" applyAlignment="1">
      <alignment horizontal="justify"/>
    </xf>
    <xf numFmtId="0" fontId="15" fillId="0" borderId="2" xfId="1" applyFont="1" applyFill="1" applyBorder="1" applyAlignment="1">
      <alignment horizontal="justify"/>
    </xf>
    <xf numFmtId="0" fontId="14" fillId="0" borderId="4" xfId="0" applyFont="1" applyBorder="1"/>
    <xf numFmtId="0" fontId="16" fillId="0" borderId="4"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0" fillId="0" borderId="4" xfId="0" applyBorder="1"/>
    <xf numFmtId="0" fontId="2" fillId="0" borderId="4"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164" fontId="4" fillId="5" borderId="21" xfId="0" applyNumberFormat="1" applyFont="1" applyFill="1" applyBorder="1" applyAlignment="1">
      <alignment horizontal="center" vertical="center" wrapText="1"/>
    </xf>
    <xf numFmtId="164" fontId="4" fillId="5" borderId="10" xfId="0" applyNumberFormat="1" applyFont="1" applyFill="1" applyBorder="1" applyAlignment="1">
      <alignment horizontal="right" vertical="center"/>
    </xf>
    <xf numFmtId="164" fontId="4" fillId="5" borderId="22" xfId="0" applyNumberFormat="1" applyFont="1" applyFill="1" applyBorder="1" applyAlignment="1">
      <alignment horizontal="right" vertical="center"/>
    </xf>
    <xf numFmtId="164" fontId="4" fillId="0" borderId="23" xfId="0" applyNumberFormat="1" applyFont="1" applyBorder="1" applyAlignment="1">
      <alignment horizontal="right" vertical="center"/>
    </xf>
    <xf numFmtId="164" fontId="4" fillId="6" borderId="11" xfId="0" applyNumberFormat="1" applyFont="1" applyFill="1" applyBorder="1" applyAlignment="1">
      <alignment horizontal="center" vertical="center" wrapText="1"/>
    </xf>
    <xf numFmtId="164" fontId="4" fillId="6" borderId="12" xfId="0" applyNumberFormat="1" applyFont="1" applyFill="1" applyBorder="1" applyAlignment="1">
      <alignment horizontal="center" vertical="center" wrapText="1"/>
    </xf>
    <xf numFmtId="164" fontId="4" fillId="6" borderId="12" xfId="0" applyNumberFormat="1" applyFont="1" applyFill="1" applyBorder="1" applyAlignment="1" applyProtection="1">
      <alignment horizontal="center" vertical="center" wrapText="1"/>
    </xf>
    <xf numFmtId="164" fontId="13" fillId="6" borderId="12" xfId="0" applyNumberFormat="1" applyFont="1" applyFill="1" applyBorder="1" applyAlignment="1" applyProtection="1">
      <alignment horizontal="center" vertical="center" wrapText="1"/>
    </xf>
    <xf numFmtId="164" fontId="4" fillId="6" borderId="13" xfId="0" applyNumberFormat="1" applyFont="1" applyFill="1" applyBorder="1" applyAlignment="1">
      <alignment horizontal="center" vertical="center" wrapText="1"/>
    </xf>
    <xf numFmtId="164" fontId="4" fillId="6" borderId="14" xfId="0" applyNumberFormat="1" applyFont="1" applyFill="1" applyBorder="1" applyAlignment="1">
      <alignment horizontal="right" vertical="center"/>
    </xf>
    <xf numFmtId="164" fontId="4" fillId="6" borderId="2" xfId="0" applyNumberFormat="1" applyFont="1" applyFill="1" applyBorder="1" applyAlignment="1">
      <alignment horizontal="right" vertical="center"/>
    </xf>
    <xf numFmtId="164" fontId="4" fillId="6" borderId="8" xfId="0" applyNumberFormat="1" applyFont="1" applyFill="1" applyBorder="1" applyAlignment="1">
      <alignment horizontal="right" vertical="center"/>
    </xf>
    <xf numFmtId="164" fontId="4" fillId="6" borderId="15" xfId="0" applyNumberFormat="1" applyFont="1" applyFill="1" applyBorder="1" applyAlignment="1">
      <alignment horizontal="right" vertical="center"/>
    </xf>
    <xf numFmtId="164" fontId="4" fillId="6" borderId="16" xfId="0" applyNumberFormat="1" applyFont="1" applyFill="1" applyBorder="1" applyAlignment="1">
      <alignment horizontal="right" vertical="center"/>
    </xf>
    <xf numFmtId="164" fontId="4" fillId="6" borderId="17" xfId="0" applyNumberFormat="1" applyFont="1" applyFill="1" applyBorder="1" applyAlignment="1">
      <alignment horizontal="right" vertical="center"/>
    </xf>
    <xf numFmtId="164" fontId="4" fillId="5" borderId="24" xfId="0" applyNumberFormat="1" applyFont="1" applyFill="1" applyBorder="1" applyAlignment="1">
      <alignment horizontal="center" vertical="center" wrapText="1"/>
    </xf>
    <xf numFmtId="164" fontId="4" fillId="5" borderId="4" xfId="0" applyNumberFormat="1" applyFont="1" applyFill="1" applyBorder="1" applyAlignment="1">
      <alignment horizontal="right" vertical="center"/>
    </xf>
    <xf numFmtId="164" fontId="4" fillId="5" borderId="25" xfId="0" applyNumberFormat="1" applyFont="1" applyFill="1" applyBorder="1" applyAlignment="1">
      <alignment horizontal="right" vertical="center"/>
    </xf>
    <xf numFmtId="0" fontId="0" fillId="0" borderId="0" xfId="0" applyAlignment="1">
      <alignment wrapText="1"/>
    </xf>
    <xf numFmtId="164" fontId="4" fillId="6" borderId="24" xfId="0" applyNumberFormat="1" applyFont="1" applyFill="1" applyBorder="1" applyAlignment="1">
      <alignment horizontal="center" vertical="center" wrapText="1"/>
    </xf>
    <xf numFmtId="164" fontId="4" fillId="6" borderId="4" xfId="0" applyNumberFormat="1" applyFont="1" applyFill="1" applyBorder="1" applyAlignment="1">
      <alignment horizontal="right" vertical="center"/>
    </xf>
    <xf numFmtId="164" fontId="4" fillId="6" borderId="25" xfId="0" applyNumberFormat="1" applyFont="1" applyFill="1" applyBorder="1" applyAlignment="1">
      <alignment horizontal="right" vertical="center"/>
    </xf>
    <xf numFmtId="0" fontId="0" fillId="4" borderId="2" xfId="0" applyFill="1" applyBorder="1" applyAlignment="1">
      <alignment wrapText="1"/>
    </xf>
    <xf numFmtId="165" fontId="17" fillId="4" borderId="2" xfId="0" applyNumberFormat="1" applyFont="1" applyFill="1" applyBorder="1" applyAlignment="1">
      <alignment horizontal="right" vertical="center"/>
    </xf>
    <xf numFmtId="165" fontId="17" fillId="4" borderId="2" xfId="0" applyNumberFormat="1" applyFont="1" applyFill="1" applyBorder="1" applyAlignment="1" applyProtection="1">
      <alignment horizontal="right" vertical="center"/>
      <protection locked="0"/>
    </xf>
    <xf numFmtId="165" fontId="1" fillId="4" borderId="2" xfId="0" applyNumberFormat="1" applyFont="1" applyFill="1" applyBorder="1" applyAlignment="1">
      <alignment vertical="center"/>
    </xf>
    <xf numFmtId="0" fontId="15" fillId="0" borderId="0" xfId="1" applyFont="1" applyFill="1" applyBorder="1" applyAlignment="1">
      <alignment horizontal="justify" vertical="top"/>
    </xf>
    <xf numFmtId="0" fontId="14" fillId="0" borderId="0" xfId="0" applyFont="1" applyBorder="1"/>
    <xf numFmtId="164" fontId="4" fillId="4" borderId="27" xfId="0" applyNumberFormat="1" applyFont="1" applyFill="1" applyBorder="1" applyAlignment="1">
      <alignment horizontal="center" vertical="center" wrapText="1"/>
    </xf>
    <xf numFmtId="0" fontId="0" fillId="4" borderId="12" xfId="0" applyFill="1" applyBorder="1" applyAlignment="1">
      <alignment wrapText="1"/>
    </xf>
    <xf numFmtId="0" fontId="0" fillId="4" borderId="13" xfId="0" applyFill="1" applyBorder="1" applyAlignment="1">
      <alignment wrapText="1"/>
    </xf>
    <xf numFmtId="165" fontId="1" fillId="4" borderId="8" xfId="0" applyNumberFormat="1" applyFont="1" applyFill="1" applyBorder="1" applyAlignment="1">
      <alignment vertical="center"/>
    </xf>
    <xf numFmtId="165" fontId="17" fillId="4" borderId="8" xfId="0" applyNumberFormat="1" applyFont="1" applyFill="1" applyBorder="1" applyAlignment="1" applyProtection="1">
      <alignment horizontal="right" vertical="center"/>
      <protection locked="0"/>
    </xf>
    <xf numFmtId="165" fontId="1" fillId="4" borderId="16" xfId="0" applyNumberFormat="1" applyFont="1" applyFill="1" applyBorder="1" applyAlignment="1">
      <alignment vertical="center"/>
    </xf>
    <xf numFmtId="165" fontId="17" fillId="4" borderId="16" xfId="0" applyNumberFormat="1" applyFont="1" applyFill="1" applyBorder="1" applyAlignment="1">
      <alignment horizontal="right" vertical="center"/>
    </xf>
    <xf numFmtId="165" fontId="17" fillId="4" borderId="16" xfId="0" applyNumberFormat="1" applyFont="1" applyFill="1" applyBorder="1" applyAlignment="1" applyProtection="1">
      <alignment horizontal="right" vertical="center"/>
      <protection locked="0"/>
    </xf>
    <xf numFmtId="165" fontId="1" fillId="4" borderId="17" xfId="0" applyNumberFormat="1" applyFont="1" applyFill="1" applyBorder="1" applyAlignment="1">
      <alignment vertical="center"/>
    </xf>
    <xf numFmtId="0" fontId="0" fillId="2" borderId="12" xfId="0" applyFill="1" applyBorder="1" applyAlignment="1">
      <alignment wrapText="1"/>
    </xf>
    <xf numFmtId="165" fontId="1" fillId="2" borderId="2" xfId="0" applyNumberFormat="1" applyFont="1" applyFill="1" applyBorder="1" applyAlignment="1">
      <alignment vertical="center"/>
    </xf>
    <xf numFmtId="165" fontId="17" fillId="2" borderId="2" xfId="0" applyNumberFormat="1" applyFont="1" applyFill="1" applyBorder="1" applyAlignment="1" applyProtection="1">
      <alignment horizontal="right" vertical="center"/>
      <protection locked="0"/>
    </xf>
    <xf numFmtId="165" fontId="1" fillId="2" borderId="16" xfId="0" applyNumberFormat="1" applyFont="1" applyFill="1" applyBorder="1" applyAlignment="1">
      <alignment vertical="center"/>
    </xf>
    <xf numFmtId="165" fontId="17" fillId="2" borderId="16" xfId="0" applyNumberFormat="1" applyFont="1" applyFill="1" applyBorder="1" applyAlignment="1" applyProtection="1">
      <alignment horizontal="right" vertical="center"/>
      <protection locked="0"/>
    </xf>
    <xf numFmtId="0" fontId="15" fillId="0" borderId="5" xfId="1" applyFont="1" applyFill="1" applyBorder="1" applyAlignment="1">
      <alignment horizontal="justify" vertical="top"/>
    </xf>
    <xf numFmtId="0" fontId="14" fillId="0" borderId="26" xfId="0" applyFont="1" applyBorder="1"/>
    <xf numFmtId="164" fontId="4" fillId="4" borderId="2" xfId="0" applyNumberFormat="1" applyFont="1" applyFill="1" applyBorder="1" applyAlignment="1">
      <alignment horizontal="center" vertical="center" wrapText="1"/>
    </xf>
    <xf numFmtId="0" fontId="0" fillId="0" borderId="2" xfId="0" applyBorder="1" applyAlignment="1">
      <alignment wrapText="1"/>
    </xf>
    <xf numFmtId="0" fontId="0" fillId="5" borderId="12" xfId="0" applyFill="1" applyBorder="1" applyAlignment="1">
      <alignment wrapText="1"/>
    </xf>
    <xf numFmtId="165" fontId="1" fillId="5" borderId="2" xfId="0" applyNumberFormat="1" applyFont="1" applyFill="1" applyBorder="1" applyAlignment="1">
      <alignment vertical="center"/>
    </xf>
    <xf numFmtId="165" fontId="17" fillId="5" borderId="2" xfId="0" applyNumberFormat="1" applyFont="1" applyFill="1" applyBorder="1" applyAlignment="1" applyProtection="1">
      <alignment horizontal="right" vertical="center"/>
      <protection locked="0"/>
    </xf>
    <xf numFmtId="165" fontId="1" fillId="5" borderId="16" xfId="0" applyNumberFormat="1" applyFont="1" applyFill="1" applyBorder="1" applyAlignment="1">
      <alignment vertical="center"/>
    </xf>
    <xf numFmtId="165" fontId="17" fillId="5" borderId="16" xfId="0" applyNumberFormat="1" applyFont="1" applyFill="1" applyBorder="1" applyAlignment="1" applyProtection="1">
      <alignment horizontal="right" vertical="center"/>
      <protection locked="0"/>
    </xf>
    <xf numFmtId="0" fontId="0" fillId="4" borderId="0" xfId="0" applyFill="1" applyBorder="1" applyAlignment="1">
      <alignment wrapText="1"/>
    </xf>
    <xf numFmtId="0" fontId="0" fillId="0" borderId="7" xfId="0" applyFill="1" applyBorder="1"/>
    <xf numFmtId="165" fontId="0" fillId="0" borderId="0" xfId="0" applyNumberFormat="1"/>
    <xf numFmtId="0" fontId="0" fillId="7" borderId="6" xfId="0" applyFill="1" applyBorder="1" applyAlignment="1">
      <alignment wrapText="1"/>
    </xf>
    <xf numFmtId="165" fontId="17" fillId="7" borderId="2" xfId="0" applyNumberFormat="1" applyFont="1" applyFill="1" applyBorder="1" applyAlignment="1" applyProtection="1">
      <alignment horizontal="right" vertical="center"/>
      <protection locked="0"/>
    </xf>
    <xf numFmtId="0" fontId="0" fillId="4" borderId="0" xfId="0" applyFill="1" applyBorder="1" applyAlignment="1">
      <alignment horizontal="left" wrapText="1"/>
    </xf>
    <xf numFmtId="0" fontId="0" fillId="4" borderId="5" xfId="0" applyFill="1" applyBorder="1"/>
    <xf numFmtId="0" fontId="0" fillId="4" borderId="6" xfId="0" applyFill="1" applyBorder="1"/>
    <xf numFmtId="0" fontId="0" fillId="4" borderId="11" xfId="0" applyFill="1" applyBorder="1"/>
    <xf numFmtId="0" fontId="0" fillId="0" borderId="30" xfId="0" applyFill="1" applyBorder="1"/>
    <xf numFmtId="0" fontId="0" fillId="4" borderId="31" xfId="0" applyFill="1" applyBorder="1" applyAlignment="1">
      <alignment wrapText="1"/>
    </xf>
    <xf numFmtId="0" fontId="0" fillId="4" borderId="15" xfId="0" applyFill="1" applyBorder="1"/>
    <xf numFmtId="0" fontId="0" fillId="0" borderId="32" xfId="0" applyFill="1" applyBorder="1"/>
    <xf numFmtId="0" fontId="0" fillId="4" borderId="33" xfId="0" applyFill="1" applyBorder="1" applyAlignment="1">
      <alignment wrapText="1"/>
    </xf>
    <xf numFmtId="0" fontId="17" fillId="0" borderId="0" xfId="1" applyFont="1" applyAlignment="1" applyProtection="1">
      <alignment horizontal="right" vertical="center"/>
      <protection hidden="1"/>
    </xf>
    <xf numFmtId="0" fontId="17" fillId="0" borderId="0" xfId="1" applyFont="1" applyAlignment="1" applyProtection="1">
      <alignment horizontal="right"/>
      <protection hidden="1"/>
    </xf>
    <xf numFmtId="0" fontId="18" fillId="0" borderId="0" xfId="1" applyFont="1" applyAlignment="1" applyProtection="1">
      <alignment horizontal="right"/>
      <protection hidden="1"/>
    </xf>
    <xf numFmtId="49" fontId="7" fillId="0" borderId="2" xfId="0" applyNumberFormat="1" applyFont="1" applyBorder="1" applyAlignment="1">
      <alignment horizontal="right" vertical="center"/>
    </xf>
    <xf numFmtId="0" fontId="0" fillId="4" borderId="2" xfId="0" applyFill="1" applyBorder="1" applyAlignment="1">
      <alignment horizontal="right"/>
    </xf>
    <xf numFmtId="166" fontId="0" fillId="4" borderId="2" xfId="0" applyNumberFormat="1" applyFill="1" applyBorder="1"/>
    <xf numFmtId="0" fontId="0" fillId="4" borderId="2" xfId="0" applyFill="1" applyBorder="1" applyAlignment="1">
      <alignment horizontal="left"/>
    </xf>
    <xf numFmtId="0" fontId="28" fillId="4" borderId="2" xfId="0" applyFont="1" applyFill="1" applyBorder="1" applyAlignment="1" applyProtection="1">
      <alignment horizontal="center" vertical="center"/>
      <protection locked="0"/>
    </xf>
    <xf numFmtId="0" fontId="11" fillId="0" borderId="2" xfId="1" applyFont="1" applyBorder="1" applyAlignment="1" applyProtection="1">
      <alignment horizontal="justify" vertical="top" wrapText="1"/>
      <protection hidden="1"/>
    </xf>
    <xf numFmtId="0" fontId="17" fillId="0" borderId="0" xfId="2" applyFont="1" applyProtection="1">
      <protection hidden="1"/>
    </xf>
    <xf numFmtId="0" fontId="11" fillId="0" borderId="2" xfId="0" applyFont="1" applyBorder="1" applyAlignment="1" applyProtection="1">
      <alignment horizontal="center" vertical="center" wrapText="1"/>
      <protection hidden="1"/>
    </xf>
    <xf numFmtId="49" fontId="11" fillId="0" borderId="2" xfId="0" applyNumberFormat="1" applyFont="1" applyBorder="1" applyAlignment="1" applyProtection="1">
      <alignment horizontal="center" vertical="center" wrapText="1"/>
      <protection hidden="1"/>
    </xf>
    <xf numFmtId="0" fontId="0" fillId="0" borderId="0" xfId="0" applyProtection="1">
      <protection hidden="1"/>
    </xf>
    <xf numFmtId="0" fontId="3" fillId="0" borderId="0" xfId="0" applyFont="1" applyAlignment="1" applyProtection="1">
      <alignment horizontal="center"/>
      <protection hidden="1"/>
    </xf>
    <xf numFmtId="0" fontId="0" fillId="0" borderId="1" xfId="0" applyBorder="1" applyProtection="1">
      <protection hidden="1"/>
    </xf>
    <xf numFmtId="0" fontId="4" fillId="0" borderId="0" xfId="0" applyFont="1" applyAlignment="1" applyProtection="1">
      <alignment horizontal="center"/>
      <protection hidden="1"/>
    </xf>
    <xf numFmtId="0" fontId="6" fillId="0" borderId="0" xfId="0" applyFont="1" applyAlignment="1" applyProtection="1">
      <alignment horizontal="center"/>
      <protection hidden="1"/>
    </xf>
    <xf numFmtId="0" fontId="2" fillId="0" borderId="0" xfId="0" applyFont="1" applyAlignment="1" applyProtection="1">
      <alignment horizontal="left"/>
      <protection hidden="1"/>
    </xf>
    <xf numFmtId="0" fontId="2" fillId="0" borderId="0" xfId="0" applyFont="1" applyAlignment="1" applyProtection="1">
      <alignment horizontal="right"/>
      <protection hidden="1"/>
    </xf>
    <xf numFmtId="0" fontId="2" fillId="0" borderId="0" xfId="0" applyFont="1" applyAlignment="1" applyProtection="1">
      <alignment wrapText="1"/>
      <protection hidden="1"/>
    </xf>
    <xf numFmtId="0" fontId="1" fillId="0" borderId="0" xfId="0" applyFont="1" applyAlignment="1" applyProtection="1">
      <alignment horizontal="justify"/>
      <protection hidden="1"/>
    </xf>
    <xf numFmtId="0" fontId="0" fillId="0" borderId="0" xfId="0" applyAlignment="1" applyProtection="1">
      <alignment horizontal="justify"/>
      <protection hidden="1"/>
    </xf>
    <xf numFmtId="0" fontId="5" fillId="0" borderId="0" xfId="0" applyFont="1" applyProtection="1">
      <protection hidden="1"/>
    </xf>
    <xf numFmtId="0" fontId="2" fillId="0" borderId="0" xfId="0" applyFont="1" applyAlignment="1" applyProtection="1">
      <alignment horizontal="justify" wrapText="1"/>
      <protection hidden="1"/>
    </xf>
    <xf numFmtId="0" fontId="6" fillId="0" borderId="0" xfId="0" applyFont="1" applyAlignment="1" applyProtection="1">
      <protection hidden="1"/>
    </xf>
    <xf numFmtId="0" fontId="2" fillId="0" borderId="0" xfId="0" applyFont="1" applyProtection="1">
      <protection hidden="1"/>
    </xf>
    <xf numFmtId="0" fontId="18" fillId="0" borderId="0" xfId="1" applyFont="1" applyAlignment="1" applyProtection="1">
      <alignment horizontal="right"/>
      <protection locked="0" hidden="1"/>
    </xf>
    <xf numFmtId="0" fontId="17" fillId="0" borderId="0" xfId="2" applyFont="1" applyAlignment="1" applyProtection="1">
      <alignment vertical="center"/>
      <protection hidden="1"/>
    </xf>
    <xf numFmtId="0" fontId="18" fillId="0" borderId="0" xfId="2" applyFont="1" applyAlignment="1" applyProtection="1">
      <alignment horizontal="right"/>
      <protection hidden="1"/>
    </xf>
    <xf numFmtId="0" fontId="17" fillId="0" borderId="0" xfId="2" applyFont="1" applyAlignment="1" applyProtection="1">
      <alignment horizontal="right"/>
      <protection hidden="1"/>
    </xf>
    <xf numFmtId="0" fontId="15" fillId="0" borderId="0" xfId="2" applyFont="1" applyBorder="1" applyAlignment="1" applyProtection="1">
      <alignment horizontal="center" vertical="center" wrapText="1"/>
      <protection hidden="1"/>
    </xf>
    <xf numFmtId="49" fontId="21" fillId="0" borderId="2" xfId="1" applyNumberFormat="1" applyFont="1" applyFill="1" applyBorder="1" applyAlignment="1" applyProtection="1">
      <alignment horizontal="center" vertical="center" wrapText="1"/>
      <protection hidden="1"/>
    </xf>
    <xf numFmtId="0" fontId="21" fillId="0" borderId="2" xfId="2" applyFont="1" applyBorder="1" applyAlignment="1" applyProtection="1">
      <alignment horizontal="center" vertical="center" wrapText="1"/>
      <protection hidden="1"/>
    </xf>
    <xf numFmtId="0" fontId="21" fillId="0" borderId="2" xfId="2" applyFont="1" applyBorder="1" applyAlignment="1" applyProtection="1">
      <alignment horizontal="left" vertical="center" wrapText="1"/>
      <protection hidden="1"/>
    </xf>
    <xf numFmtId="164" fontId="21" fillId="0" borderId="2" xfId="1" applyNumberFormat="1" applyFont="1" applyBorder="1" applyAlignment="1" applyProtection="1">
      <alignment horizontal="right" vertical="center" wrapText="1"/>
      <protection hidden="1"/>
    </xf>
    <xf numFmtId="0" fontId="2" fillId="0" borderId="2" xfId="2" applyNumberFormat="1" applyFont="1" applyFill="1" applyBorder="1" applyAlignment="1" applyProtection="1">
      <alignment horizontal="center" vertical="center" wrapText="1"/>
      <protection hidden="1"/>
    </xf>
    <xf numFmtId="164" fontId="11" fillId="0" borderId="2" xfId="1" applyNumberFormat="1" applyFont="1" applyBorder="1" applyAlignment="1" applyProtection="1">
      <alignment horizontal="right" vertical="center" wrapText="1"/>
      <protection hidden="1"/>
    </xf>
    <xf numFmtId="0" fontId="11" fillId="0" borderId="2" xfId="2" applyNumberFormat="1" applyFont="1" applyFill="1" applyBorder="1" applyAlignment="1" applyProtection="1">
      <alignment horizontal="center" vertical="center" wrapText="1"/>
      <protection hidden="1"/>
    </xf>
    <xf numFmtId="0" fontId="11" fillId="0" borderId="2" xfId="2" applyFont="1" applyBorder="1" applyAlignment="1" applyProtection="1">
      <alignment horizontal="center" vertical="center" wrapText="1"/>
      <protection hidden="1"/>
    </xf>
    <xf numFmtId="0" fontId="11" fillId="0" borderId="2" xfId="2" applyFont="1" applyBorder="1" applyAlignment="1" applyProtection="1">
      <alignment horizontal="left" vertical="center" wrapText="1"/>
      <protection hidden="1"/>
    </xf>
    <xf numFmtId="0" fontId="21" fillId="0" borderId="2" xfId="0" applyFont="1" applyBorder="1" applyAlignment="1" applyProtection="1">
      <alignment horizontal="center" vertical="center" wrapText="1"/>
      <protection hidden="1"/>
    </xf>
    <xf numFmtId="0" fontId="22" fillId="0" borderId="34" xfId="0" applyNumberFormat="1" applyFont="1" applyBorder="1" applyAlignment="1" applyProtection="1">
      <alignment wrapText="1"/>
      <protection hidden="1"/>
    </xf>
    <xf numFmtId="0" fontId="18" fillId="0" borderId="0" xfId="2" applyFont="1" applyProtection="1">
      <protection hidden="1"/>
    </xf>
    <xf numFmtId="0" fontId="22" fillId="0" borderId="14" xfId="0" applyNumberFormat="1" applyFont="1" applyBorder="1" applyAlignment="1" applyProtection="1">
      <alignment wrapText="1"/>
      <protection hidden="1"/>
    </xf>
    <xf numFmtId="164" fontId="11" fillId="0" borderId="2" xfId="2" applyNumberFormat="1" applyFont="1" applyBorder="1" applyProtection="1">
      <protection hidden="1"/>
    </xf>
    <xf numFmtId="0" fontId="22" fillId="0" borderId="14" xfId="0" applyNumberFormat="1" applyFont="1" applyBorder="1" applyAlignment="1" applyProtection="1">
      <alignment vertical="top" wrapText="1"/>
      <protection hidden="1"/>
    </xf>
    <xf numFmtId="0" fontId="20" fillId="0" borderId="0" xfId="2" applyFont="1" applyAlignment="1" applyProtection="1">
      <alignment vertical="center" wrapText="1"/>
      <protection hidden="1"/>
    </xf>
    <xf numFmtId="0" fontId="21" fillId="8" borderId="2" xfId="0" applyFont="1" applyFill="1" applyBorder="1" applyAlignment="1" applyProtection="1">
      <alignment horizontal="center" vertical="center"/>
      <protection hidden="1"/>
    </xf>
    <xf numFmtId="0" fontId="21" fillId="8" borderId="2" xfId="0" applyFont="1" applyFill="1" applyBorder="1" applyAlignment="1" applyProtection="1">
      <alignment horizontal="center" vertical="center" wrapText="1"/>
      <protection hidden="1"/>
    </xf>
    <xf numFmtId="0" fontId="21" fillId="8" borderId="4" xfId="0" applyFont="1" applyFill="1" applyBorder="1" applyAlignment="1" applyProtection="1">
      <alignment horizontal="center" vertical="center" wrapText="1"/>
      <protection hidden="1"/>
    </xf>
    <xf numFmtId="0" fontId="11" fillId="8" borderId="2" xfId="0" applyFont="1" applyFill="1" applyBorder="1" applyAlignment="1" applyProtection="1">
      <alignment horizontal="center" vertical="center"/>
      <protection hidden="1"/>
    </xf>
    <xf numFmtId="0" fontId="11" fillId="0" borderId="2" xfId="0" applyFont="1" applyBorder="1" applyAlignment="1" applyProtection="1">
      <alignment vertical="center" wrapText="1"/>
      <protection hidden="1"/>
    </xf>
    <xf numFmtId="164" fontId="21" fillId="0" borderId="2" xfId="0" applyNumberFormat="1" applyFont="1" applyFill="1" applyBorder="1" applyAlignment="1" applyProtection="1">
      <alignment vertical="center"/>
      <protection hidden="1"/>
    </xf>
    <xf numFmtId="0" fontId="21" fillId="8" borderId="2" xfId="0" applyFont="1" applyFill="1" applyBorder="1" applyAlignment="1" applyProtection="1">
      <alignment vertical="center"/>
      <protection hidden="1"/>
    </xf>
    <xf numFmtId="0" fontId="21" fillId="8" borderId="2" xfId="0" applyFont="1" applyFill="1" applyBorder="1" applyAlignment="1" applyProtection="1">
      <alignment horizontal="left" vertical="center" wrapText="1"/>
      <protection hidden="1"/>
    </xf>
    <xf numFmtId="164" fontId="21" fillId="8" borderId="2" xfId="3" applyNumberFormat="1" applyFont="1" applyFill="1" applyBorder="1" applyAlignment="1" applyProtection="1">
      <alignment horizontal="right" vertical="center" wrapText="1"/>
      <protection hidden="1"/>
    </xf>
    <xf numFmtId="0" fontId="23" fillId="8" borderId="0" xfId="0" applyFont="1" applyFill="1" applyBorder="1" applyAlignment="1" applyProtection="1">
      <alignment vertical="center" wrapText="1"/>
      <protection hidden="1"/>
    </xf>
    <xf numFmtId="0" fontId="11" fillId="0" borderId="2" xfId="0" applyFont="1" applyBorder="1" applyAlignment="1" applyProtection="1">
      <alignment horizontal="justify" vertical="center" wrapText="1"/>
      <protection hidden="1"/>
    </xf>
    <xf numFmtId="167" fontId="11" fillId="0" borderId="2" xfId="0" applyNumberFormat="1" applyFont="1" applyBorder="1" applyAlignment="1" applyProtection="1">
      <alignment horizontal="center" vertical="center" wrapText="1"/>
      <protection hidden="1"/>
    </xf>
    <xf numFmtId="0" fontId="11" fillId="0" borderId="2" xfId="0" applyFont="1" applyFill="1" applyBorder="1" applyAlignment="1" applyProtection="1">
      <alignment horizontal="center" vertical="center" wrapText="1"/>
      <protection hidden="1"/>
    </xf>
    <xf numFmtId="0" fontId="11" fillId="0" borderId="2" xfId="0" applyFont="1" applyFill="1" applyBorder="1" applyAlignment="1" applyProtection="1">
      <alignment horizontal="justify" vertical="center" wrapText="1"/>
      <protection hidden="1"/>
    </xf>
    <xf numFmtId="167" fontId="11" fillId="0" borderId="2" xfId="0" applyNumberFormat="1" applyFont="1" applyFill="1" applyBorder="1" applyAlignment="1" applyProtection="1">
      <alignment horizontal="center" vertical="center" wrapText="1"/>
      <protection hidden="1"/>
    </xf>
    <xf numFmtId="0" fontId="11" fillId="0" borderId="0" xfId="0" applyFont="1" applyProtection="1">
      <protection hidden="1"/>
    </xf>
    <xf numFmtId="0" fontId="11" fillId="0" borderId="0" xfId="0" applyFont="1" applyBorder="1" applyAlignment="1" applyProtection="1">
      <alignment vertical="center" wrapText="1"/>
      <protection hidden="1"/>
    </xf>
    <xf numFmtId="0" fontId="11" fillId="0" borderId="0" xfId="2" applyFont="1" applyProtection="1">
      <protection hidden="1"/>
    </xf>
    <xf numFmtId="0" fontId="11" fillId="0" borderId="0" xfId="0" applyFont="1" applyBorder="1" applyAlignment="1" applyProtection="1">
      <alignment horizontal="center" vertical="center" wrapText="1"/>
      <protection hidden="1"/>
    </xf>
    <xf numFmtId="0" fontId="11" fillId="0" borderId="2" xfId="0" applyFont="1" applyFill="1" applyBorder="1" applyAlignment="1" applyProtection="1">
      <alignment vertical="center" wrapText="1"/>
      <protection hidden="1"/>
    </xf>
    <xf numFmtId="0" fontId="27" fillId="0" borderId="2" xfId="0" applyFont="1" applyBorder="1" applyAlignment="1" applyProtection="1">
      <alignment horizontal="center" vertical="center" wrapText="1"/>
      <protection hidden="1"/>
    </xf>
    <xf numFmtId="0" fontId="11" fillId="0" borderId="0" xfId="2" applyFont="1" applyAlignment="1" applyProtection="1">
      <alignment vertical="center"/>
      <protection hidden="1"/>
    </xf>
    <xf numFmtId="0" fontId="20" fillId="0" borderId="0" xfId="2" applyFont="1" applyAlignment="1" applyProtection="1">
      <alignment wrapText="1"/>
      <protection hidden="1"/>
    </xf>
    <xf numFmtId="0" fontId="11" fillId="0" borderId="0" xfId="2" applyFont="1" applyBorder="1" applyAlignment="1" applyProtection="1">
      <alignment horizontal="center" vertical="center" wrapText="1"/>
      <protection hidden="1"/>
    </xf>
    <xf numFmtId="0" fontId="25" fillId="0" borderId="2" xfId="0" applyFont="1" applyBorder="1" applyAlignment="1" applyProtection="1">
      <alignment horizontal="center" vertical="center" wrapText="1"/>
      <protection hidden="1"/>
    </xf>
    <xf numFmtId="0" fontId="25" fillId="0" borderId="2" xfId="0" applyFont="1" applyBorder="1" applyAlignment="1" applyProtection="1">
      <alignment horizontal="center" wrapText="1"/>
      <protection hidden="1"/>
    </xf>
    <xf numFmtId="167" fontId="26" fillId="0" borderId="2" xfId="0" applyNumberFormat="1"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xf numFmtId="167" fontId="25" fillId="0" borderId="2" xfId="0" applyNumberFormat="1" applyFont="1" applyBorder="1" applyAlignment="1" applyProtection="1">
      <alignment horizontal="center" vertical="center" wrapText="1"/>
      <protection hidden="1"/>
    </xf>
    <xf numFmtId="164" fontId="29" fillId="0" borderId="2" xfId="1" applyNumberFormat="1" applyFont="1" applyBorder="1" applyAlignment="1" applyProtection="1">
      <alignment horizontal="right" vertical="center" wrapText="1"/>
      <protection hidden="1"/>
    </xf>
    <xf numFmtId="164" fontId="4" fillId="0" borderId="2" xfId="0" applyNumberFormat="1" applyFont="1" applyFill="1" applyBorder="1" applyAlignment="1" applyProtection="1">
      <alignment horizontal="right" vertical="center" wrapText="1"/>
    </xf>
    <xf numFmtId="164" fontId="4" fillId="9" borderId="2" xfId="0" applyNumberFormat="1" applyFont="1" applyFill="1" applyBorder="1" applyAlignment="1" applyProtection="1">
      <alignment horizontal="right" vertical="center" wrapText="1"/>
    </xf>
    <xf numFmtId="164" fontId="13" fillId="0" borderId="2" xfId="0" applyNumberFormat="1" applyFont="1" applyFill="1" applyBorder="1" applyAlignment="1" applyProtection="1">
      <alignment horizontal="right" vertical="center"/>
    </xf>
    <xf numFmtId="164" fontId="4" fillId="0" borderId="2" xfId="0" applyNumberFormat="1" applyFont="1" applyFill="1" applyBorder="1" applyAlignment="1" applyProtection="1">
      <alignment horizontal="right" vertical="center"/>
    </xf>
    <xf numFmtId="164" fontId="13" fillId="0" borderId="2" xfId="0" applyNumberFormat="1" applyFont="1" applyFill="1" applyBorder="1" applyAlignment="1">
      <alignment horizontal="right" vertical="center"/>
    </xf>
    <xf numFmtId="164" fontId="13" fillId="9" borderId="2" xfId="0" applyNumberFormat="1" applyFont="1" applyFill="1" applyBorder="1" applyAlignment="1" applyProtection="1">
      <alignment horizontal="right" vertical="center"/>
    </xf>
    <xf numFmtId="164" fontId="4" fillId="0" borderId="8" xfId="0" applyNumberFormat="1" applyFont="1" applyFill="1" applyBorder="1" applyAlignment="1" applyProtection="1">
      <alignment horizontal="right" vertical="center"/>
    </xf>
    <xf numFmtId="164" fontId="13" fillId="0" borderId="8" xfId="0" applyNumberFormat="1" applyFont="1" applyFill="1" applyBorder="1" applyAlignment="1" applyProtection="1">
      <alignment horizontal="right" vertical="center"/>
    </xf>
    <xf numFmtId="164" fontId="13" fillId="9" borderId="8" xfId="0" applyNumberFormat="1" applyFont="1" applyFill="1" applyBorder="1" applyAlignment="1" applyProtection="1">
      <alignment horizontal="right" vertical="center"/>
    </xf>
    <xf numFmtId="165" fontId="1" fillId="3" borderId="2" xfId="0" applyNumberFormat="1" applyFont="1" applyFill="1" applyBorder="1" applyAlignment="1">
      <alignment vertical="center"/>
    </xf>
    <xf numFmtId="165" fontId="17" fillId="3" borderId="2" xfId="0" applyNumberFormat="1" applyFont="1" applyFill="1" applyBorder="1" applyAlignment="1">
      <alignment horizontal="right" vertical="center"/>
    </xf>
    <xf numFmtId="165" fontId="17" fillId="3" borderId="2" xfId="0" applyNumberFormat="1" applyFont="1" applyFill="1" applyBorder="1" applyAlignment="1" applyProtection="1">
      <alignment horizontal="right" vertical="center"/>
      <protection locked="0"/>
    </xf>
    <xf numFmtId="165" fontId="1" fillId="3" borderId="8" xfId="0" applyNumberFormat="1" applyFont="1" applyFill="1" applyBorder="1" applyAlignment="1">
      <alignment vertical="center"/>
    </xf>
    <xf numFmtId="165" fontId="17" fillId="7" borderId="2" xfId="0" applyNumberFormat="1" applyFont="1" applyFill="1" applyBorder="1" applyAlignment="1" applyProtection="1">
      <alignment horizontal="right" vertical="center" wrapText="1"/>
      <protection locked="0"/>
    </xf>
    <xf numFmtId="165" fontId="30" fillId="3" borderId="2" xfId="0" applyNumberFormat="1" applyFont="1" applyFill="1" applyBorder="1" applyAlignment="1">
      <alignment vertical="center"/>
    </xf>
    <xf numFmtId="0" fontId="31" fillId="4" borderId="2" xfId="0" applyFont="1" applyFill="1" applyBorder="1" applyAlignment="1" applyProtection="1">
      <alignment horizontal="center" vertical="center"/>
      <protection locked="0"/>
    </xf>
    <xf numFmtId="0" fontId="32" fillId="4" borderId="2" xfId="0" applyFont="1" applyFill="1" applyBorder="1" applyAlignment="1">
      <alignment horizontal="center" vertical="center"/>
    </xf>
    <xf numFmtId="49" fontId="31" fillId="4" borderId="2" xfId="0" applyNumberFormat="1" applyFont="1" applyFill="1" applyBorder="1" applyAlignment="1" applyProtection="1">
      <alignment horizontal="center" vertical="center"/>
      <protection locked="0"/>
    </xf>
    <xf numFmtId="0" fontId="1" fillId="0" borderId="7" xfId="0" applyFont="1" applyBorder="1" applyAlignment="1">
      <alignment horizontal="center" vertical="center" wrapText="1"/>
    </xf>
    <xf numFmtId="0" fontId="0" fillId="0" borderId="7" xfId="0" applyFill="1" applyBorder="1" applyAlignment="1"/>
    <xf numFmtId="0" fontId="0" fillId="4" borderId="0" xfId="0" applyFill="1" applyBorder="1" applyAlignment="1">
      <alignment horizontal="center" wrapText="1"/>
    </xf>
    <xf numFmtId="4" fontId="4" fillId="0" borderId="6" xfId="0" applyNumberFormat="1" applyFont="1" applyFill="1" applyBorder="1" applyAlignment="1" applyProtection="1">
      <alignment horizontal="right" vertical="center" wrapText="1"/>
    </xf>
    <xf numFmtId="4" fontId="4" fillId="0" borderId="2" xfId="0" applyNumberFormat="1" applyFont="1" applyFill="1" applyBorder="1" applyAlignment="1" applyProtection="1">
      <alignment horizontal="right" vertical="center" wrapText="1"/>
    </xf>
    <xf numFmtId="4" fontId="4" fillId="0" borderId="6" xfId="0" applyNumberFormat="1" applyFont="1" applyFill="1" applyBorder="1" applyAlignment="1" applyProtection="1">
      <alignment horizontal="right" vertical="center"/>
    </xf>
    <xf numFmtId="4" fontId="4" fillId="0" borderId="2" xfId="0" applyNumberFormat="1" applyFont="1" applyFill="1" applyBorder="1" applyAlignment="1" applyProtection="1">
      <alignment horizontal="right" vertical="center"/>
    </xf>
    <xf numFmtId="4" fontId="4" fillId="0" borderId="35" xfId="0" applyNumberFormat="1" applyFont="1" applyFill="1" applyBorder="1" applyAlignment="1" applyProtection="1">
      <alignment horizontal="right" vertical="center"/>
    </xf>
    <xf numFmtId="4" fontId="4" fillId="0" borderId="8" xfId="0" applyNumberFormat="1" applyFont="1" applyFill="1" applyBorder="1" applyAlignment="1" applyProtection="1">
      <alignment horizontal="right" vertical="center"/>
    </xf>
    <xf numFmtId="164" fontId="4" fillId="0" borderId="6" xfId="0" applyNumberFormat="1" applyFont="1" applyFill="1" applyBorder="1" applyAlignment="1" applyProtection="1">
      <alignment horizontal="right" vertical="center" wrapText="1"/>
    </xf>
    <xf numFmtId="164" fontId="4" fillId="0" borderId="6" xfId="0" applyNumberFormat="1" applyFont="1" applyFill="1" applyBorder="1" applyAlignment="1" applyProtection="1">
      <alignment horizontal="right" vertical="center"/>
    </xf>
    <xf numFmtId="164" fontId="4" fillId="0" borderId="35" xfId="0" applyNumberFormat="1" applyFont="1" applyFill="1" applyBorder="1" applyAlignment="1" applyProtection="1">
      <alignment horizontal="right" vertical="center"/>
    </xf>
    <xf numFmtId="164" fontId="4" fillId="0" borderId="2" xfId="0" applyNumberFormat="1" applyFont="1" applyFill="1" applyBorder="1" applyAlignment="1">
      <alignment horizontal="right" vertical="center"/>
    </xf>
    <xf numFmtId="4" fontId="4" fillId="9" borderId="2" xfId="0" applyNumberFormat="1" applyFont="1" applyFill="1" applyBorder="1" applyAlignment="1" applyProtection="1">
      <alignment horizontal="right" vertical="center" wrapText="1"/>
    </xf>
    <xf numFmtId="4" fontId="13" fillId="0" borderId="2" xfId="0" applyNumberFormat="1" applyFont="1" applyFill="1" applyBorder="1" applyAlignment="1">
      <alignment horizontal="right" vertical="center"/>
    </xf>
    <xf numFmtId="4" fontId="4" fillId="0" borderId="2" xfId="0" applyNumberFormat="1" applyFont="1" applyFill="1" applyBorder="1" applyAlignment="1">
      <alignment horizontal="right" vertical="center"/>
    </xf>
    <xf numFmtId="4" fontId="13" fillId="9" borderId="2" xfId="0" applyNumberFormat="1" applyFont="1" applyFill="1" applyBorder="1" applyAlignment="1" applyProtection="1">
      <alignment horizontal="right" vertical="center"/>
    </xf>
    <xf numFmtId="4" fontId="13" fillId="0" borderId="2" xfId="0" applyNumberFormat="1" applyFont="1" applyFill="1" applyBorder="1" applyAlignment="1" applyProtection="1">
      <alignment horizontal="right" vertical="center"/>
    </xf>
    <xf numFmtId="4" fontId="13" fillId="0" borderId="8" xfId="0" applyNumberFormat="1" applyFont="1" applyFill="1" applyBorder="1" applyAlignment="1" applyProtection="1">
      <alignment horizontal="right" vertical="center"/>
    </xf>
    <xf numFmtId="4" fontId="13" fillId="9" borderId="8" xfId="0" applyNumberFormat="1" applyFont="1" applyFill="1" applyBorder="1" applyAlignment="1" applyProtection="1">
      <alignment horizontal="right" vertical="center"/>
    </xf>
    <xf numFmtId="165" fontId="4" fillId="4" borderId="28" xfId="0" applyNumberFormat="1" applyFont="1" applyFill="1" applyBorder="1" applyAlignment="1">
      <alignment horizontal="right" vertical="center"/>
    </xf>
    <xf numFmtId="165" fontId="4" fillId="4" borderId="29" xfId="0" applyNumberFormat="1" applyFont="1" applyFill="1" applyBorder="1" applyAlignment="1">
      <alignment horizontal="right" vertical="center"/>
    </xf>
    <xf numFmtId="168" fontId="0" fillId="0" borderId="0" xfId="0" applyNumberFormat="1"/>
    <xf numFmtId="164" fontId="17" fillId="0" borderId="0" xfId="2" applyNumberFormat="1" applyFont="1" applyProtection="1">
      <protection hidden="1"/>
    </xf>
    <xf numFmtId="0" fontId="21" fillId="0" borderId="2" xfId="0" applyFont="1" applyBorder="1" applyAlignment="1" applyProtection="1">
      <alignment horizontal="center" vertical="center" wrapText="1"/>
      <protection hidden="1"/>
    </xf>
    <xf numFmtId="165" fontId="33" fillId="0" borderId="2" xfId="0" applyNumberFormat="1" applyFont="1" applyFill="1" applyBorder="1" applyAlignment="1" applyProtection="1">
      <alignment vertical="center"/>
      <protection hidden="1"/>
    </xf>
    <xf numFmtId="0" fontId="34" fillId="0" borderId="2" xfId="2" applyFont="1" applyBorder="1" applyAlignment="1">
      <alignment horizontal="center" vertical="center" wrapText="1"/>
    </xf>
    <xf numFmtId="164" fontId="11" fillId="0" borderId="2" xfId="1" applyNumberFormat="1" applyFont="1" applyBorder="1" applyAlignment="1" applyProtection="1">
      <alignment horizontal="center" vertical="center" wrapText="1"/>
      <protection hidden="1"/>
    </xf>
    <xf numFmtId="165" fontId="17" fillId="0" borderId="0" xfId="2" applyNumberFormat="1" applyFont="1" applyProtection="1">
      <protection hidden="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2" fillId="0" borderId="0" xfId="0" applyFont="1" applyAlignment="1" applyProtection="1">
      <alignment horizontal="justify" wrapText="1"/>
      <protection hidden="1"/>
    </xf>
    <xf numFmtId="0" fontId="6" fillId="0" borderId="0" xfId="0" applyFont="1" applyFill="1" applyAlignment="1" applyProtection="1">
      <alignment horizontal="center" wrapText="1"/>
      <protection hidden="1"/>
    </xf>
    <xf numFmtId="0" fontId="6" fillId="0" borderId="0" xfId="0" applyFont="1" applyAlignment="1" applyProtection="1">
      <alignment horizontal="right"/>
      <protection hidden="1"/>
    </xf>
    <xf numFmtId="0" fontId="6" fillId="0" borderId="0" xfId="0" applyFont="1" applyAlignment="1" applyProtection="1">
      <alignment horizontal="center" wrapText="1"/>
      <protection hidden="1"/>
    </xf>
    <xf numFmtId="0" fontId="2" fillId="0" borderId="0" xfId="0" applyFont="1" applyFill="1" applyBorder="1" applyAlignment="1" applyProtection="1">
      <alignment horizontal="justify" wrapText="1"/>
      <protection hidden="1"/>
    </xf>
    <xf numFmtId="0" fontId="2" fillId="0" borderId="0" xfId="0" applyFont="1" applyBorder="1" applyAlignment="1" applyProtection="1">
      <alignment horizontal="justify" wrapText="1"/>
      <protection hidden="1"/>
    </xf>
    <xf numFmtId="0" fontId="2" fillId="0" borderId="0" xfId="0" applyFont="1" applyFill="1" applyAlignment="1" applyProtection="1">
      <alignment horizontal="justify" wrapText="1"/>
      <protection hidden="1"/>
    </xf>
    <xf numFmtId="0" fontId="29" fillId="0" borderId="0" xfId="0" applyFont="1" applyAlignment="1" applyProtection="1">
      <alignment horizontal="justify" wrapText="1"/>
      <protection hidden="1"/>
    </xf>
    <xf numFmtId="0" fontId="29" fillId="0" borderId="0" xfId="0" applyFont="1" applyBorder="1" applyAlignment="1" applyProtection="1">
      <alignment horizontal="justify" wrapText="1"/>
      <protection hidden="1"/>
    </xf>
    <xf numFmtId="0" fontId="29" fillId="0" borderId="0" xfId="0" applyFont="1" applyBorder="1" applyAlignment="1" applyProtection="1">
      <alignment horizontal="justify" vertical="top" wrapText="1"/>
      <protection hidden="1"/>
    </xf>
    <xf numFmtId="0" fontId="2" fillId="0" borderId="0" xfId="0" applyFont="1" applyBorder="1" applyAlignment="1" applyProtection="1">
      <alignment horizontal="justify" vertical="top" wrapText="1"/>
      <protection hidden="1"/>
    </xf>
    <xf numFmtId="0" fontId="20" fillId="0" borderId="0" xfId="2" applyFont="1" applyAlignment="1" applyProtection="1">
      <alignment horizontal="center" wrapText="1"/>
      <protection hidden="1"/>
    </xf>
    <xf numFmtId="0" fontId="21" fillId="0" borderId="2" xfId="1" applyFont="1" applyBorder="1" applyAlignment="1" applyProtection="1">
      <alignment horizontal="center" vertical="justify" wrapText="1"/>
      <protection hidden="1"/>
    </xf>
    <xf numFmtId="0" fontId="21" fillId="0" borderId="2" xfId="2" applyNumberFormat="1" applyFont="1" applyFill="1" applyBorder="1" applyAlignment="1" applyProtection="1">
      <alignment horizontal="center" vertical="top" wrapText="1"/>
      <protection hidden="1"/>
    </xf>
    <xf numFmtId="0" fontId="21" fillId="0" borderId="2" xfId="2" applyFont="1" applyBorder="1" applyAlignment="1" applyProtection="1">
      <alignment horizontal="center" vertical="center" wrapText="1"/>
      <protection hidden="1"/>
    </xf>
    <xf numFmtId="0" fontId="22" fillId="0" borderId="28" xfId="0" applyNumberFormat="1" applyFont="1" applyBorder="1" applyAlignment="1" applyProtection="1">
      <alignment horizontal="center" wrapText="1"/>
      <protection hidden="1"/>
    </xf>
    <xf numFmtId="0" fontId="22" fillId="0" borderId="36" xfId="0" applyNumberFormat="1" applyFont="1" applyBorder="1" applyAlignment="1" applyProtection="1">
      <alignment horizontal="center" wrapText="1"/>
      <protection hidden="1"/>
    </xf>
    <xf numFmtId="0" fontId="22" fillId="0" borderId="10" xfId="0" applyNumberFormat="1" applyFont="1" applyBorder="1" applyAlignment="1" applyProtection="1">
      <alignment horizontal="center" wrapText="1"/>
      <protection hidden="1"/>
    </xf>
    <xf numFmtId="0" fontId="11" fillId="0" borderId="2" xfId="0" applyFont="1" applyBorder="1" applyAlignment="1" applyProtection="1">
      <alignment horizontal="left" vertical="center" wrapText="1"/>
      <protection hidden="1"/>
    </xf>
    <xf numFmtId="167" fontId="11" fillId="0" borderId="2" xfId="0" applyNumberFormat="1" applyFont="1" applyBorder="1" applyAlignment="1" applyProtection="1">
      <alignment horizontal="center" vertical="center"/>
      <protection hidden="1"/>
    </xf>
    <xf numFmtId="0" fontId="21" fillId="0" borderId="2" xfId="0" applyFont="1" applyBorder="1" applyAlignment="1" applyProtection="1">
      <alignment horizontal="left" vertical="center" wrapText="1"/>
      <protection hidden="1"/>
    </xf>
    <xf numFmtId="167" fontId="21" fillId="0" borderId="2" xfId="0" applyNumberFormat="1" applyFont="1" applyBorder="1" applyAlignment="1" applyProtection="1">
      <alignment horizontal="center" vertical="center"/>
      <protection hidden="1"/>
    </xf>
    <xf numFmtId="0" fontId="20" fillId="0" borderId="0" xfId="2" applyFont="1" applyAlignment="1" applyProtection="1">
      <alignment horizontal="center" vertical="center" wrapText="1"/>
      <protection hidden="1"/>
    </xf>
    <xf numFmtId="0" fontId="21" fillId="0" borderId="0" xfId="0" applyFont="1" applyAlignment="1" applyProtection="1">
      <alignment horizontal="center"/>
      <protection hidden="1"/>
    </xf>
    <xf numFmtId="0" fontId="11" fillId="0" borderId="0" xfId="0" applyFont="1" applyAlignment="1" applyProtection="1">
      <alignment horizontal="center"/>
      <protection hidden="1"/>
    </xf>
    <xf numFmtId="0" fontId="11" fillId="0" borderId="0" xfId="0" applyFont="1" applyBorder="1" applyAlignment="1" applyProtection="1">
      <alignment horizontal="right" vertical="center" wrapText="1"/>
      <protection hidden="1"/>
    </xf>
    <xf numFmtId="0" fontId="21" fillId="0" borderId="2" xfId="0"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cellXfs>
  <cellStyles count="4">
    <cellStyle name="Обычный" xfId="0" builtinId="0"/>
    <cellStyle name="Обычный 2" xfId="2"/>
    <cellStyle name="Обычный 2 12" xfId="1"/>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xdr:colOff>
      <xdr:row>0</xdr:row>
      <xdr:rowOff>38100</xdr:rowOff>
    </xdr:from>
    <xdr:to>
      <xdr:col>5</xdr:col>
      <xdr:colOff>584201</xdr:colOff>
      <xdr:row>3</xdr:row>
      <xdr:rowOff>76200</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3286126" y="38100"/>
          <a:ext cx="584200" cy="6096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108857</xdr:colOff>
      <xdr:row>2</xdr:row>
      <xdr:rowOff>27214</xdr:rowOff>
    </xdr:from>
    <xdr:to>
      <xdr:col>14</xdr:col>
      <xdr:colOff>361207</xdr:colOff>
      <xdr:row>11</xdr:row>
      <xdr:rowOff>685305</xdr:rowOff>
    </xdr:to>
    <xdr:sp macro="" textlink="">
      <xdr:nvSpPr>
        <xdr:cNvPr id="2" name="Стрелка влево 1"/>
        <xdr:cNvSpPr/>
      </xdr:nvSpPr>
      <xdr:spPr>
        <a:xfrm>
          <a:off x="11525250" y="408214"/>
          <a:ext cx="9750136" cy="313459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a:p>
          <a:pPr algn="l"/>
          <a:endParaRPr lang="ru-RU" sz="1100"/>
        </a:p>
        <a:p>
          <a:pPr algn="l"/>
          <a:endParaRPr lang="ru-RU" sz="1100"/>
        </a:p>
        <a:p>
          <a:pPr algn="l"/>
          <a:r>
            <a:rPr lang="ru-RU" sz="3600" b="1"/>
            <a:t>УБРАТЬ 0(Ноли)</a:t>
          </a:r>
          <a:r>
            <a:rPr lang="ru-RU" sz="3600" b="1" baseline="0"/>
            <a:t> в фильтре перед печатью</a:t>
          </a:r>
          <a:endParaRPr lang="ru-RU" sz="3600" b="1"/>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122"/>
  <sheetViews>
    <sheetView view="pageBreakPreview" zoomScaleSheetLayoutView="100" workbookViewId="0">
      <pane xSplit="8" ySplit="2" topLeftCell="CY3" activePane="bottomRight" state="frozen"/>
      <selection activeCell="CY109" sqref="CY109"/>
      <selection pane="topRight" activeCell="CY109" sqref="CY109"/>
      <selection pane="bottomLeft" activeCell="CY109" sqref="CY109"/>
      <selection pane="bottomRight" activeCell="CY134" sqref="CY134"/>
    </sheetView>
  </sheetViews>
  <sheetFormatPr defaultRowHeight="15" x14ac:dyDescent="0.25"/>
  <cols>
    <col min="1" max="1" width="30.28515625" bestFit="1" customWidth="1"/>
    <col min="2" max="2" width="13.7109375" hidden="1" customWidth="1"/>
    <col min="3" max="3" width="18.42578125" hidden="1" customWidth="1"/>
    <col min="4" max="4" width="13.7109375" hidden="1" customWidth="1"/>
    <col min="5" max="5" width="24.85546875" hidden="1" customWidth="1"/>
    <col min="6" max="6" width="8.85546875" hidden="1" customWidth="1"/>
    <col min="7" max="7" width="10" hidden="1" customWidth="1"/>
    <col min="8" max="8" width="27.7109375" hidden="1" customWidth="1"/>
    <col min="9" max="9" width="13.42578125" hidden="1" customWidth="1"/>
    <col min="10" max="10" width="15.140625" hidden="1" customWidth="1"/>
    <col min="11" max="20" width="12.140625" hidden="1" customWidth="1"/>
    <col min="21" max="50" width="13.140625" hidden="1" customWidth="1"/>
    <col min="51" max="51" width="15.7109375" hidden="1" customWidth="1"/>
    <col min="52" max="76" width="13.140625" hidden="1" customWidth="1"/>
    <col min="77" max="77" width="14" hidden="1" customWidth="1"/>
    <col min="78" max="79" width="13.42578125" hidden="1" customWidth="1"/>
    <col min="80" max="92" width="12.5703125" hidden="1" customWidth="1"/>
    <col min="93" max="93" width="14.7109375" hidden="1" customWidth="1"/>
    <col min="94" max="95" width="14.85546875" hidden="1" customWidth="1"/>
    <col min="96" max="97" width="9" hidden="1" customWidth="1"/>
    <col min="98" max="98" width="14" hidden="1" customWidth="1"/>
    <col min="99" max="102" width="10.140625" hidden="1" customWidth="1"/>
    <col min="103" max="103" width="60" customWidth="1"/>
    <col min="104" max="104" width="87.85546875" hidden="1" customWidth="1"/>
    <col min="105" max="105" width="62" hidden="1" customWidth="1"/>
    <col min="106" max="106" width="9.140625" hidden="1" customWidth="1"/>
    <col min="107" max="107" width="15.7109375" hidden="1" customWidth="1"/>
    <col min="108" max="108" width="15.28515625" hidden="1" customWidth="1"/>
    <col min="109" max="109" width="16.5703125" hidden="1" customWidth="1"/>
    <col min="110" max="110" width="9.140625" hidden="1" customWidth="1"/>
    <col min="111" max="112" width="10.140625" hidden="1" customWidth="1"/>
    <col min="113" max="114" width="8.85546875" hidden="1" customWidth="1"/>
    <col min="115" max="116" width="8.85546875" customWidth="1"/>
    <col min="118" max="118" width="42.5703125" customWidth="1"/>
  </cols>
  <sheetData>
    <row r="1" spans="1:118" ht="15.75" hidden="1" thickBot="1" x14ac:dyDescent="0.3">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c r="BE1">
        <v>56</v>
      </c>
      <c r="BF1">
        <v>57</v>
      </c>
      <c r="BG1">
        <v>58</v>
      </c>
      <c r="BH1">
        <v>59</v>
      </c>
      <c r="BI1">
        <v>60</v>
      </c>
      <c r="BJ1">
        <v>61</v>
      </c>
      <c r="BK1">
        <v>62</v>
      </c>
      <c r="BL1">
        <v>63</v>
      </c>
      <c r="BM1">
        <v>64</v>
      </c>
      <c r="BN1">
        <v>65</v>
      </c>
      <c r="BO1">
        <v>66</v>
      </c>
      <c r="BP1">
        <v>67</v>
      </c>
      <c r="BQ1">
        <v>68</v>
      </c>
      <c r="BR1">
        <v>69</v>
      </c>
      <c r="BS1">
        <v>70</v>
      </c>
      <c r="BT1">
        <v>71</v>
      </c>
      <c r="BU1">
        <v>72</v>
      </c>
      <c r="BV1">
        <v>73</v>
      </c>
      <c r="BW1">
        <v>74</v>
      </c>
      <c r="BX1">
        <v>75</v>
      </c>
      <c r="BY1">
        <v>76</v>
      </c>
      <c r="BZ1">
        <v>77</v>
      </c>
      <c r="CA1">
        <v>78</v>
      </c>
      <c r="CB1">
        <v>79</v>
      </c>
      <c r="CC1">
        <v>80</v>
      </c>
      <c r="CD1">
        <v>81</v>
      </c>
      <c r="CE1">
        <v>82</v>
      </c>
      <c r="CF1">
        <v>83</v>
      </c>
      <c r="CG1">
        <v>84</v>
      </c>
      <c r="CH1">
        <v>85</v>
      </c>
      <c r="CI1">
        <v>86</v>
      </c>
      <c r="CJ1">
        <v>87</v>
      </c>
      <c r="CK1">
        <v>88</v>
      </c>
      <c r="CL1">
        <v>89</v>
      </c>
      <c r="CM1">
        <v>90</v>
      </c>
      <c r="CN1">
        <v>91</v>
      </c>
      <c r="CO1">
        <v>92</v>
      </c>
      <c r="CP1">
        <v>93</v>
      </c>
      <c r="CQ1">
        <v>94</v>
      </c>
      <c r="CR1">
        <v>95</v>
      </c>
      <c r="CS1">
        <v>96</v>
      </c>
      <c r="CT1">
        <v>97</v>
      </c>
      <c r="CU1">
        <v>98</v>
      </c>
      <c r="CV1">
        <v>99</v>
      </c>
      <c r="CW1">
        <v>100</v>
      </c>
      <c r="CX1">
        <v>101</v>
      </c>
      <c r="CY1">
        <v>100</v>
      </c>
    </row>
    <row r="2" spans="1:118" ht="77.25" customHeight="1" thickBot="1" x14ac:dyDescent="0.3">
      <c r="A2" s="15"/>
      <c r="B2" s="2"/>
      <c r="C2" s="7" t="s">
        <v>10</v>
      </c>
      <c r="D2" s="7" t="s">
        <v>5</v>
      </c>
      <c r="E2" s="7" t="s">
        <v>7</v>
      </c>
      <c r="F2" s="7" t="s">
        <v>54</v>
      </c>
      <c r="G2" s="7" t="s">
        <v>55</v>
      </c>
      <c r="H2" s="20" t="s">
        <v>1</v>
      </c>
      <c r="I2" s="50" t="s">
        <v>100</v>
      </c>
      <c r="J2" s="51" t="s">
        <v>101</v>
      </c>
      <c r="K2" s="52" t="s">
        <v>79</v>
      </c>
      <c r="L2" s="52" t="s">
        <v>80</v>
      </c>
      <c r="M2" s="52" t="s">
        <v>81</v>
      </c>
      <c r="N2" s="53" t="s">
        <v>82</v>
      </c>
      <c r="O2" s="52" t="s">
        <v>83</v>
      </c>
      <c r="P2" s="53" t="s">
        <v>84</v>
      </c>
      <c r="Q2" s="53" t="s">
        <v>85</v>
      </c>
      <c r="R2" s="53" t="s">
        <v>86</v>
      </c>
      <c r="S2" s="53" t="s">
        <v>87</v>
      </c>
      <c r="T2" s="53" t="s">
        <v>88</v>
      </c>
      <c r="U2" s="51" t="s">
        <v>62</v>
      </c>
      <c r="V2" s="54" t="s">
        <v>102</v>
      </c>
      <c r="W2" s="46" t="s">
        <v>105</v>
      </c>
      <c r="X2" s="27" t="s">
        <v>106</v>
      </c>
      <c r="Y2" s="28" t="s">
        <v>79</v>
      </c>
      <c r="Z2" s="28" t="s">
        <v>80</v>
      </c>
      <c r="AA2" s="28" t="s">
        <v>81</v>
      </c>
      <c r="AB2" s="29" t="s">
        <v>82</v>
      </c>
      <c r="AC2" s="28" t="s">
        <v>83</v>
      </c>
      <c r="AD2" s="29" t="s">
        <v>84</v>
      </c>
      <c r="AE2" s="29" t="s">
        <v>85</v>
      </c>
      <c r="AF2" s="29" t="s">
        <v>86</v>
      </c>
      <c r="AG2" s="29" t="s">
        <v>87</v>
      </c>
      <c r="AH2" s="29" t="s">
        <v>88</v>
      </c>
      <c r="AI2" s="27" t="s">
        <v>63</v>
      </c>
      <c r="AJ2" s="61" t="s">
        <v>107</v>
      </c>
      <c r="AK2" s="50" t="s">
        <v>108</v>
      </c>
      <c r="AL2" s="51" t="s">
        <v>109</v>
      </c>
      <c r="AM2" s="52" t="s">
        <v>79</v>
      </c>
      <c r="AN2" s="52" t="s">
        <v>80</v>
      </c>
      <c r="AO2" s="52" t="s">
        <v>81</v>
      </c>
      <c r="AP2" s="53" t="s">
        <v>82</v>
      </c>
      <c r="AQ2" s="52" t="s">
        <v>83</v>
      </c>
      <c r="AR2" s="53" t="s">
        <v>84</v>
      </c>
      <c r="AS2" s="53" t="s">
        <v>85</v>
      </c>
      <c r="AT2" s="53" t="s">
        <v>86</v>
      </c>
      <c r="AU2" s="53" t="s">
        <v>87</v>
      </c>
      <c r="AV2" s="53" t="s">
        <v>88</v>
      </c>
      <c r="AW2" s="51" t="s">
        <v>110</v>
      </c>
      <c r="AX2" s="65" t="s">
        <v>111</v>
      </c>
      <c r="AY2" s="74" t="s">
        <v>155</v>
      </c>
      <c r="AZ2" s="75" t="s">
        <v>112</v>
      </c>
      <c r="BA2" s="75" t="s">
        <v>113</v>
      </c>
      <c r="BB2" s="75" t="s">
        <v>114</v>
      </c>
      <c r="BC2" s="75" t="s">
        <v>115</v>
      </c>
      <c r="BD2" s="75" t="s">
        <v>116</v>
      </c>
      <c r="BE2" s="75" t="s">
        <v>117</v>
      </c>
      <c r="BF2" s="75" t="s">
        <v>118</v>
      </c>
      <c r="BG2" s="75" t="s">
        <v>119</v>
      </c>
      <c r="BH2" s="75" t="s">
        <v>120</v>
      </c>
      <c r="BI2" s="75" t="s">
        <v>121</v>
      </c>
      <c r="BJ2" s="75" t="s">
        <v>122</v>
      </c>
      <c r="BK2" s="75" t="s">
        <v>123</v>
      </c>
      <c r="BL2" s="75" t="s">
        <v>124</v>
      </c>
      <c r="BM2" s="75" t="s">
        <v>125</v>
      </c>
      <c r="BN2" s="75" t="s">
        <v>126</v>
      </c>
      <c r="BO2" s="75" t="s">
        <v>127</v>
      </c>
      <c r="BP2" s="75" t="s">
        <v>128</v>
      </c>
      <c r="BQ2" s="75" t="s">
        <v>129</v>
      </c>
      <c r="BR2" s="75" t="s">
        <v>130</v>
      </c>
      <c r="BS2" s="75" t="s">
        <v>131</v>
      </c>
      <c r="BT2" s="75" t="s">
        <v>132</v>
      </c>
      <c r="BU2" s="75" t="s">
        <v>133</v>
      </c>
      <c r="BV2" s="75" t="s">
        <v>134</v>
      </c>
      <c r="BW2" s="76" t="s">
        <v>135</v>
      </c>
      <c r="BX2" s="83" t="s">
        <v>125</v>
      </c>
      <c r="BY2" s="83" t="s">
        <v>126</v>
      </c>
      <c r="BZ2" s="83" t="s">
        <v>127</v>
      </c>
      <c r="CA2" s="83" t="s">
        <v>128</v>
      </c>
      <c r="CB2" s="83" t="s">
        <v>129</v>
      </c>
      <c r="CC2" s="83" t="s">
        <v>135</v>
      </c>
      <c r="CD2" s="92" t="s">
        <v>125</v>
      </c>
      <c r="CE2" s="92" t="s">
        <v>126</v>
      </c>
      <c r="CF2" s="92" t="s">
        <v>127</v>
      </c>
      <c r="CG2" s="92" t="s">
        <v>128</v>
      </c>
      <c r="CH2" s="92" t="s">
        <v>129</v>
      </c>
      <c r="CI2" s="92" t="s">
        <v>135</v>
      </c>
      <c r="CJ2" s="100" t="s">
        <v>344</v>
      </c>
      <c r="CK2" s="100" t="s">
        <v>343</v>
      </c>
      <c r="CL2" s="100" t="s">
        <v>153</v>
      </c>
      <c r="CM2" s="100" t="s">
        <v>333</v>
      </c>
      <c r="CN2" s="100" t="s">
        <v>334</v>
      </c>
      <c r="CO2" s="3" t="s">
        <v>161</v>
      </c>
      <c r="CP2" s="3" t="s">
        <v>159</v>
      </c>
      <c r="CQ2" s="3" t="s">
        <v>160</v>
      </c>
      <c r="CR2" s="2" t="s">
        <v>232</v>
      </c>
      <c r="CS2" s="2" t="s">
        <v>60</v>
      </c>
      <c r="CT2" s="2" t="s">
        <v>56</v>
      </c>
      <c r="CU2" s="2" t="s">
        <v>57</v>
      </c>
      <c r="CV2" s="2" t="s">
        <v>58</v>
      </c>
      <c r="CW2" s="206" t="s">
        <v>349</v>
      </c>
      <c r="CX2" s="206" t="s">
        <v>350</v>
      </c>
      <c r="CY2" s="18" t="s">
        <v>356</v>
      </c>
    </row>
    <row r="3" spans="1:118" ht="31.15" customHeight="1" thickBot="1" x14ac:dyDescent="0.3">
      <c r="A3" s="16" t="s">
        <v>77</v>
      </c>
      <c r="B3" t="s">
        <v>12</v>
      </c>
      <c r="C3" s="6" t="s">
        <v>61</v>
      </c>
      <c r="D3" s="9" t="s">
        <v>12</v>
      </c>
      <c r="E3" s="9" t="s">
        <v>11</v>
      </c>
      <c r="F3" s="6" t="s">
        <v>61</v>
      </c>
      <c r="G3" s="6" t="s">
        <v>61</v>
      </c>
      <c r="H3" s="21" t="s">
        <v>13</v>
      </c>
      <c r="I3" s="55">
        <f t="shared" ref="I3:I14" si="0">J3+U3+V3</f>
        <v>9589.2657540221207</v>
      </c>
      <c r="J3" s="56">
        <f t="shared" ref="J3:J14" si="1">SUM(K3:T3)+CW3+CX3</f>
        <v>2472.8000000000002</v>
      </c>
      <c r="K3" s="188">
        <v>300</v>
      </c>
      <c r="L3" s="188">
        <v>0</v>
      </c>
      <c r="M3" s="188">
        <v>22.2</v>
      </c>
      <c r="N3" s="188">
        <v>600</v>
      </c>
      <c r="O3" s="188">
        <v>0.6</v>
      </c>
      <c r="P3" s="189">
        <v>100</v>
      </c>
      <c r="Q3" s="188">
        <v>800</v>
      </c>
      <c r="R3" s="188">
        <v>50</v>
      </c>
      <c r="S3" s="188">
        <v>600</v>
      </c>
      <c r="T3" s="190">
        <v>0</v>
      </c>
      <c r="U3" s="56">
        <v>6579.5297540221209</v>
      </c>
      <c r="V3" s="57">
        <v>536.93600000000004</v>
      </c>
      <c r="W3" s="47">
        <f>X3+AI3+AJ3</f>
        <v>9019.0398899999982</v>
      </c>
      <c r="X3" s="30">
        <f>SUM(Y3:AH3)</f>
        <v>2476.65</v>
      </c>
      <c r="Y3" s="215">
        <v>280</v>
      </c>
      <c r="Z3" s="188">
        <v>0.15</v>
      </c>
      <c r="AA3" s="188">
        <v>1.8</v>
      </c>
      <c r="AB3" s="188">
        <v>650</v>
      </c>
      <c r="AC3" s="188">
        <v>0.7</v>
      </c>
      <c r="AD3" s="189">
        <v>110</v>
      </c>
      <c r="AE3" s="188">
        <v>850</v>
      </c>
      <c r="AF3" s="188">
        <v>34</v>
      </c>
      <c r="AG3" s="188">
        <v>550</v>
      </c>
      <c r="AH3" s="190">
        <v>0</v>
      </c>
      <c r="AI3" s="30">
        <v>6095.3278899999987</v>
      </c>
      <c r="AJ3" s="62">
        <v>447.06200000000001</v>
      </c>
      <c r="AK3" s="55">
        <f>AL3+AW3+AX3</f>
        <v>9034.5468899999978</v>
      </c>
      <c r="AL3" s="56">
        <f>SUM(AM3:AV3)</f>
        <v>2718.1000000000004</v>
      </c>
      <c r="AM3" s="209">
        <v>300</v>
      </c>
      <c r="AN3" s="210">
        <v>0.2</v>
      </c>
      <c r="AO3" s="210">
        <v>2</v>
      </c>
      <c r="AP3" s="210">
        <v>750</v>
      </c>
      <c r="AQ3" s="210">
        <v>0.9</v>
      </c>
      <c r="AR3" s="219">
        <v>115</v>
      </c>
      <c r="AS3" s="210">
        <v>900</v>
      </c>
      <c r="AT3" s="210">
        <v>50</v>
      </c>
      <c r="AU3" s="210">
        <v>600</v>
      </c>
      <c r="AV3" s="223">
        <v>0</v>
      </c>
      <c r="AW3" s="56">
        <v>5853.877889999997</v>
      </c>
      <c r="AX3" s="66">
        <v>462.56900000000002</v>
      </c>
      <c r="AY3" s="226">
        <f>SUM(AZ3:BW3)</f>
        <v>9589.2657540221189</v>
      </c>
      <c r="AZ3" s="197">
        <v>3575.96</v>
      </c>
      <c r="BA3" s="197">
        <v>1079.94</v>
      </c>
      <c r="BB3" s="202">
        <v>65</v>
      </c>
      <c r="BC3" s="202"/>
      <c r="BD3" s="202">
        <v>12</v>
      </c>
      <c r="BE3" s="202">
        <v>90</v>
      </c>
      <c r="BF3" s="202">
        <v>15</v>
      </c>
      <c r="BG3" s="198">
        <v>85.55068</v>
      </c>
      <c r="BH3" s="202"/>
      <c r="BI3" s="202">
        <v>231.65</v>
      </c>
      <c r="BJ3" s="202">
        <v>295</v>
      </c>
      <c r="BK3" s="202">
        <v>50</v>
      </c>
      <c r="BL3" s="197">
        <v>5</v>
      </c>
      <c r="BM3" s="71">
        <v>325.11500000000001</v>
      </c>
      <c r="BN3" s="71">
        <v>98.185000000000002</v>
      </c>
      <c r="BO3" s="70">
        <v>24.347000000000001</v>
      </c>
      <c r="BP3" s="71">
        <v>63.021000000000001</v>
      </c>
      <c r="BQ3" s="70">
        <v>26.268000000000001</v>
      </c>
      <c r="BR3" s="197">
        <v>5</v>
      </c>
      <c r="BS3" s="199">
        <v>670.64700000000005</v>
      </c>
      <c r="BT3" s="197">
        <v>423</v>
      </c>
      <c r="BU3" s="199">
        <v>263</v>
      </c>
      <c r="BV3" s="199">
        <v>2185.5820740221202</v>
      </c>
      <c r="BW3" s="200"/>
      <c r="BX3" s="84">
        <v>303.23500000000001</v>
      </c>
      <c r="BY3" s="84">
        <v>91.576999999999998</v>
      </c>
      <c r="BZ3" s="85"/>
      <c r="CA3" s="84">
        <v>52.25</v>
      </c>
      <c r="CB3" s="85"/>
      <c r="CC3" s="85"/>
      <c r="CD3" s="93">
        <v>315.226</v>
      </c>
      <c r="CE3" s="93">
        <v>95.197999999999993</v>
      </c>
      <c r="CF3" s="94"/>
      <c r="CG3" s="93">
        <v>52.144999999999996</v>
      </c>
      <c r="CH3" s="94"/>
      <c r="CI3" s="94"/>
      <c r="CJ3"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",TEXT(BV3+BU3,"0 000,000"),"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2 448,582 тыс. рублей ежегодно.</v>
      </c>
      <c r="CK3" s="201" t="s">
        <v>390</v>
      </c>
      <c r="CL3" s="101" t="s">
        <v>335</v>
      </c>
      <c r="CM3" s="101"/>
      <c r="CN3" s="101" t="s">
        <v>339</v>
      </c>
      <c r="CO3" s="4">
        <f t="shared" ref="CO3:CO14" si="2">(I3-V3)*0.15</f>
        <v>1357.8494631033182</v>
      </c>
      <c r="CP3" s="4">
        <f>(W3-AJ3)*0.15</f>
        <v>1285.7966834999997</v>
      </c>
      <c r="CQ3" s="4">
        <f>(AK3-AX3)*0.15</f>
        <v>1285.7966834999997</v>
      </c>
      <c r="CR3" s="114">
        <v>660</v>
      </c>
      <c r="CS3" s="12" t="s">
        <v>70</v>
      </c>
      <c r="CT3" s="4">
        <f t="shared" ref="CT3:CT14" si="3">J3*0.5</f>
        <v>1236.4000000000001</v>
      </c>
      <c r="CU3" s="4">
        <v>389.05</v>
      </c>
      <c r="CV3" s="13">
        <v>435.55</v>
      </c>
      <c r="CW3" s="188">
        <v>0</v>
      </c>
      <c r="CX3" s="188">
        <v>0</v>
      </c>
      <c r="CY3" s="203" t="s">
        <v>397</v>
      </c>
      <c r="DC3" s="10">
        <f t="shared" ref="DC3:DC15" si="4">I3-AY3</f>
        <v>0</v>
      </c>
      <c r="DD3" s="99">
        <f>AK3-(AY3-BM3-BN3-BO3-BP3-BQ3-BW3+CD3+CE3+CF3+CG3+CH3+CI3)</f>
        <v>-480.35186402212275</v>
      </c>
      <c r="DE3" s="99">
        <f>W3-(AY3-BM3-BN3-BO3-BP3-BQ3-BW3+BX3+BY3+BZ3+CA3+CB3+CC3)</f>
        <v>-480.35186402212094</v>
      </c>
      <c r="DF3" s="10">
        <f>DD3-DE3</f>
        <v>-1.8189894035458565E-12</v>
      </c>
      <c r="DG3" s="99"/>
      <c r="DH3" s="99"/>
      <c r="DI3" s="10"/>
      <c r="DJ3" s="99"/>
      <c r="DN3" s="228"/>
    </row>
    <row r="4" spans="1:118" ht="49.9" hidden="1" customHeight="1" thickBot="1" x14ac:dyDescent="0.3">
      <c r="A4" s="16"/>
      <c r="B4" t="s">
        <v>18</v>
      </c>
      <c r="C4" s="6" t="s">
        <v>21</v>
      </c>
      <c r="D4" s="9" t="s">
        <v>18</v>
      </c>
      <c r="E4" s="9" t="s">
        <v>19</v>
      </c>
      <c r="F4" s="6"/>
      <c r="G4" s="6"/>
      <c r="H4" s="21" t="s">
        <v>20</v>
      </c>
      <c r="I4" s="55">
        <f t="shared" si="0"/>
        <v>12522.479198902076</v>
      </c>
      <c r="J4" s="56">
        <f t="shared" si="1"/>
        <v>6294</v>
      </c>
      <c r="K4" s="191">
        <v>800</v>
      </c>
      <c r="L4" s="191">
        <v>0</v>
      </c>
      <c r="M4" s="191">
        <v>20</v>
      </c>
      <c r="N4" s="192">
        <v>700</v>
      </c>
      <c r="O4" s="218">
        <v>0</v>
      </c>
      <c r="P4" s="193">
        <v>50</v>
      </c>
      <c r="Q4" s="190">
        <v>2300</v>
      </c>
      <c r="R4" s="190">
        <v>400</v>
      </c>
      <c r="S4" s="190">
        <v>2000</v>
      </c>
      <c r="T4" s="190">
        <v>24</v>
      </c>
      <c r="U4" s="56">
        <v>5691.5431989020763</v>
      </c>
      <c r="V4" s="57">
        <v>536.93600000000004</v>
      </c>
      <c r="W4" s="47">
        <f t="shared" ref="W4:W14" si="5">X4+AI4+AJ4</f>
        <v>11676.27239</v>
      </c>
      <c r="X4" s="30">
        <f t="shared" ref="X4:X5" si="6">SUM(Y4:AH4)</f>
        <v>5868.25</v>
      </c>
      <c r="Y4" s="216">
        <v>790</v>
      </c>
      <c r="Z4" s="191">
        <v>0.25</v>
      </c>
      <c r="AA4" s="191">
        <v>20</v>
      </c>
      <c r="AB4" s="192">
        <v>800</v>
      </c>
      <c r="AC4" s="218">
        <v>0</v>
      </c>
      <c r="AD4" s="193">
        <v>60</v>
      </c>
      <c r="AE4" s="190">
        <v>2360</v>
      </c>
      <c r="AF4" s="190">
        <v>258</v>
      </c>
      <c r="AG4" s="190">
        <v>1560</v>
      </c>
      <c r="AH4" s="190">
        <v>20</v>
      </c>
      <c r="AI4" s="30">
        <v>5360.9603900000002</v>
      </c>
      <c r="AJ4" s="62">
        <v>447.06200000000001</v>
      </c>
      <c r="AK4" s="55">
        <f t="shared" ref="AK4:AK14" si="7">AL4+AW4+AX4</f>
        <v>11691.77939</v>
      </c>
      <c r="AL4" s="56">
        <f t="shared" ref="AL4:AL5" si="8">SUM(AM4:AV4)</f>
        <v>6246.3</v>
      </c>
      <c r="AM4" s="211">
        <v>850</v>
      </c>
      <c r="AN4" s="212">
        <v>0.3</v>
      </c>
      <c r="AO4" s="212">
        <v>21</v>
      </c>
      <c r="AP4" s="220">
        <v>850</v>
      </c>
      <c r="AQ4" s="221">
        <v>0</v>
      </c>
      <c r="AR4" s="222">
        <v>65</v>
      </c>
      <c r="AS4" s="223">
        <v>2460</v>
      </c>
      <c r="AT4" s="223">
        <v>300</v>
      </c>
      <c r="AU4" s="223">
        <v>1680</v>
      </c>
      <c r="AV4" s="223">
        <v>20</v>
      </c>
      <c r="AW4" s="56">
        <v>4982.9103899999991</v>
      </c>
      <c r="AX4" s="66">
        <v>462.56900000000002</v>
      </c>
      <c r="AY4" s="226">
        <f t="shared" ref="AY4:AY14" si="9">SUM(AZ4:BW4)</f>
        <v>12522.479198902076</v>
      </c>
      <c r="AZ4" s="71">
        <v>3729.2629999999999</v>
      </c>
      <c r="BA4" s="71">
        <v>1126.2370000000001</v>
      </c>
      <c r="BB4" s="71">
        <v>65</v>
      </c>
      <c r="BC4" s="71"/>
      <c r="BD4" s="71">
        <v>12</v>
      </c>
      <c r="BE4" s="71">
        <v>90</v>
      </c>
      <c r="BF4" s="71">
        <v>15</v>
      </c>
      <c r="BG4" s="69">
        <v>551.29638999999997</v>
      </c>
      <c r="BH4" s="71"/>
      <c r="BI4" s="71">
        <v>235.589</v>
      </c>
      <c r="BJ4" s="71">
        <f>450-332.009+125</f>
        <v>242.99099999999999</v>
      </c>
      <c r="BK4" s="71">
        <v>30</v>
      </c>
      <c r="BL4" s="71">
        <v>5</v>
      </c>
      <c r="BM4" s="71">
        <v>325.11500000000001</v>
      </c>
      <c r="BN4" s="71">
        <v>98.185000000000002</v>
      </c>
      <c r="BO4" s="70">
        <v>24.347000000000001</v>
      </c>
      <c r="BP4" s="71">
        <v>63.021000000000001</v>
      </c>
      <c r="BQ4" s="70">
        <v>26.268000000000001</v>
      </c>
      <c r="BR4" s="71">
        <v>5</v>
      </c>
      <c r="BS4" s="70">
        <v>820.947</v>
      </c>
      <c r="BT4" s="71">
        <v>483.3</v>
      </c>
      <c r="BU4" s="70">
        <v>202.7</v>
      </c>
      <c r="BV4" s="70">
        <v>4371.2198089020767</v>
      </c>
      <c r="BW4" s="77"/>
      <c r="BX4" s="84">
        <v>303.23500000000001</v>
      </c>
      <c r="BY4" s="84">
        <v>91.576999999999998</v>
      </c>
      <c r="BZ4" s="85"/>
      <c r="CA4" s="84">
        <v>52.25</v>
      </c>
      <c r="CB4" s="85"/>
      <c r="CC4" s="85"/>
      <c r="CD4" s="93">
        <v>315.226</v>
      </c>
      <c r="CE4" s="93">
        <v>95.197999999999993</v>
      </c>
      <c r="CF4" s="94"/>
      <c r="CG4" s="93">
        <v>52.144999999999996</v>
      </c>
      <c r="CH4" s="94"/>
      <c r="CI4" s="94"/>
      <c r="CJ4"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",TEXT(BV4+BU4,"0 000,000"),"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4 573,920 тыс. рублей ежегодно.</v>
      </c>
      <c r="CK4" s="201" t="s">
        <v>390</v>
      </c>
      <c r="CL4" s="101" t="s">
        <v>335</v>
      </c>
      <c r="CM4" s="101" t="s">
        <v>337</v>
      </c>
      <c r="CN4" s="101" t="s">
        <v>339</v>
      </c>
      <c r="CO4" s="4">
        <f t="shared" si="2"/>
        <v>1797.8314798353115</v>
      </c>
      <c r="CP4" s="4">
        <f t="shared" ref="CP4:CP14" si="10">(W4-AJ4)*0.15</f>
        <v>1684.3815585</v>
      </c>
      <c r="CQ4" s="4">
        <f t="shared" ref="CQ4:CQ14" si="11">(AK4-AX4)*0.15</f>
        <v>1684.3815585</v>
      </c>
      <c r="CR4" s="114">
        <v>661</v>
      </c>
      <c r="CS4" s="11" t="s">
        <v>65</v>
      </c>
      <c r="CT4" s="4">
        <f t="shared" si="3"/>
        <v>3147</v>
      </c>
      <c r="CU4" s="4">
        <v>1470.28</v>
      </c>
      <c r="CV4" s="13">
        <v>1585.95</v>
      </c>
      <c r="CW4" s="191">
        <v>0</v>
      </c>
      <c r="CX4" s="191">
        <v>0</v>
      </c>
      <c r="CY4" s="204" t="str">
        <f>VLOOKUP($CY$109,$B$3:$CV$14,3,FALSE)</f>
        <v>Братское</v>
      </c>
      <c r="DC4" s="10">
        <f t="shared" si="4"/>
        <v>0</v>
      </c>
      <c r="DD4" s="99">
        <f t="shared" ref="DD4:DD14" si="12">AK4-(AY4-BM4-BN4-BO4-BP4-BQ4-BW4+CD4+CE4+CF4+CG4+CH4+CI4)</f>
        <v>-756.33280890207789</v>
      </c>
      <c r="DE4" s="99">
        <f t="shared" ref="DE4:DE14" si="13">W4-(AY4-BM4-BN4-BO4-BP4-BQ4-BW4+BX4+BY4+BZ4+CA4+CB4+CC4)</f>
        <v>-756.33280890207607</v>
      </c>
      <c r="DN4" s="228"/>
    </row>
    <row r="5" spans="1:118" ht="49.9" hidden="1" customHeight="1" thickBot="1" x14ac:dyDescent="0.3">
      <c r="A5" s="16"/>
      <c r="B5" s="5" t="s">
        <v>52</v>
      </c>
      <c r="C5" s="6" t="s">
        <v>53</v>
      </c>
      <c r="D5" s="9" t="s">
        <v>52</v>
      </c>
      <c r="E5" s="9" t="s">
        <v>50</v>
      </c>
      <c r="F5" s="6"/>
      <c r="G5" s="6"/>
      <c r="H5" s="21" t="s">
        <v>51</v>
      </c>
      <c r="I5" s="55">
        <f t="shared" si="0"/>
        <v>10736.970142527649</v>
      </c>
      <c r="J5" s="56">
        <f t="shared" si="1"/>
        <v>3220</v>
      </c>
      <c r="K5" s="191">
        <v>400</v>
      </c>
      <c r="L5" s="191">
        <v>0</v>
      </c>
      <c r="M5" s="191">
        <v>10</v>
      </c>
      <c r="N5" s="195">
        <v>1900</v>
      </c>
      <c r="O5" s="194">
        <v>0</v>
      </c>
      <c r="P5" s="196">
        <v>0</v>
      </c>
      <c r="Q5" s="195">
        <v>180</v>
      </c>
      <c r="R5" s="195">
        <v>460</v>
      </c>
      <c r="S5" s="195">
        <v>270</v>
      </c>
      <c r="T5" s="195">
        <v>0</v>
      </c>
      <c r="U5" s="56">
        <v>6980.0341425276492</v>
      </c>
      <c r="V5" s="57">
        <v>536.93600000000004</v>
      </c>
      <c r="W5" s="47">
        <f t="shared" si="5"/>
        <v>10061.071</v>
      </c>
      <c r="X5" s="30">
        <f t="shared" si="6"/>
        <v>4379.7147999999997</v>
      </c>
      <c r="Y5" s="217">
        <v>350</v>
      </c>
      <c r="Z5" s="194">
        <v>0</v>
      </c>
      <c r="AA5" s="194">
        <v>10.1</v>
      </c>
      <c r="AB5" s="195">
        <v>3297.6147999999998</v>
      </c>
      <c r="AC5" s="194">
        <v>0</v>
      </c>
      <c r="AD5" s="196">
        <v>0</v>
      </c>
      <c r="AE5" s="195">
        <v>225</v>
      </c>
      <c r="AF5" s="195">
        <v>255</v>
      </c>
      <c r="AG5" s="195">
        <v>242</v>
      </c>
      <c r="AH5" s="195">
        <v>0</v>
      </c>
      <c r="AI5" s="30">
        <v>5234.2942000000003</v>
      </c>
      <c r="AJ5" s="62">
        <v>447.06200000000001</v>
      </c>
      <c r="AK5" s="55">
        <f t="shared" si="7"/>
        <v>10076.577999999998</v>
      </c>
      <c r="AL5" s="56">
        <f t="shared" si="8"/>
        <v>5053.2695999999996</v>
      </c>
      <c r="AM5" s="213">
        <v>440</v>
      </c>
      <c r="AN5" s="214">
        <v>0</v>
      </c>
      <c r="AO5" s="214">
        <v>10.14</v>
      </c>
      <c r="AP5" s="224">
        <v>3856.6295999999998</v>
      </c>
      <c r="AQ5" s="214">
        <v>0</v>
      </c>
      <c r="AR5" s="225">
        <v>0</v>
      </c>
      <c r="AS5" s="224">
        <v>230</v>
      </c>
      <c r="AT5" s="224">
        <v>266.5</v>
      </c>
      <c r="AU5" s="224">
        <v>250</v>
      </c>
      <c r="AV5" s="224">
        <v>0</v>
      </c>
      <c r="AW5" s="56">
        <v>4560.7393999999995</v>
      </c>
      <c r="AX5" s="66">
        <v>462.56900000000002</v>
      </c>
      <c r="AY5" s="226">
        <f t="shared" si="9"/>
        <v>10736.970142527649</v>
      </c>
      <c r="AZ5" s="71">
        <v>3595.0079999999998</v>
      </c>
      <c r="BA5" s="71">
        <v>1085.692</v>
      </c>
      <c r="BB5" s="71">
        <v>65</v>
      </c>
      <c r="BC5" s="71"/>
      <c r="BD5" s="71">
        <v>12</v>
      </c>
      <c r="BE5" s="71">
        <v>70</v>
      </c>
      <c r="BF5" s="71">
        <v>15</v>
      </c>
      <c r="BG5" s="69">
        <v>221.85504999999998</v>
      </c>
      <c r="BH5" s="71"/>
      <c r="BI5" s="71">
        <v>174.76999999999998</v>
      </c>
      <c r="BJ5" s="71">
        <v>388</v>
      </c>
      <c r="BK5" s="71">
        <v>35</v>
      </c>
      <c r="BL5" s="71">
        <v>5</v>
      </c>
      <c r="BM5" s="71">
        <v>325.11500000000001</v>
      </c>
      <c r="BN5" s="71">
        <v>98.185000000000002</v>
      </c>
      <c r="BO5" s="70">
        <v>24.347000000000001</v>
      </c>
      <c r="BP5" s="71">
        <v>63.021000000000001</v>
      </c>
      <c r="BQ5" s="70">
        <v>26.268000000000001</v>
      </c>
      <c r="BR5" s="71">
        <v>5</v>
      </c>
      <c r="BS5" s="70">
        <v>307.29399999999998</v>
      </c>
      <c r="BT5" s="71">
        <v>942</v>
      </c>
      <c r="BU5" s="70">
        <v>0</v>
      </c>
      <c r="BV5" s="70">
        <v>3278.4150925276504</v>
      </c>
      <c r="BW5" s="77"/>
      <c r="BX5" s="84">
        <v>303.23500000000001</v>
      </c>
      <c r="BY5" s="84">
        <v>91.576999999999998</v>
      </c>
      <c r="BZ5" s="85"/>
      <c r="CA5" s="84">
        <v>52.25</v>
      </c>
      <c r="CB5" s="85"/>
      <c r="CC5" s="85"/>
      <c r="CD5" s="93">
        <v>315.226</v>
      </c>
      <c r="CE5" s="93">
        <v>95.197999999999993</v>
      </c>
      <c r="CF5" s="94"/>
      <c r="CG5" s="93">
        <v>52.144999999999996</v>
      </c>
      <c r="CH5" s="94"/>
      <c r="CI5" s="94"/>
      <c r="CJ5"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",TEXT(BV5+BU5,"0 000,000"),"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3 278,415 тыс. рублей ежегодно.</v>
      </c>
      <c r="CK5" s="201" t="s">
        <v>390</v>
      </c>
      <c r="CL5" s="101" t="s">
        <v>335</v>
      </c>
      <c r="CM5" s="101"/>
      <c r="CN5" s="101" t="s">
        <v>339</v>
      </c>
      <c r="CO5" s="4">
        <f t="shared" si="2"/>
        <v>1530.0051213791473</v>
      </c>
      <c r="CP5" s="4">
        <f t="shared" si="10"/>
        <v>1442.1013499999999</v>
      </c>
      <c r="CQ5" s="4">
        <f t="shared" si="11"/>
        <v>1442.1013499999997</v>
      </c>
      <c r="CR5" s="114" t="s">
        <v>233</v>
      </c>
      <c r="CS5" s="11" t="s">
        <v>72</v>
      </c>
      <c r="CT5" s="4">
        <f t="shared" si="3"/>
        <v>1610</v>
      </c>
      <c r="CU5" s="4">
        <v>554</v>
      </c>
      <c r="CV5" s="13">
        <v>566.85</v>
      </c>
      <c r="CW5" s="194">
        <v>0</v>
      </c>
      <c r="CX5" s="194">
        <v>0</v>
      </c>
      <c r="CY5" s="204" t="str">
        <f>VLOOKUP($CY$109,$B$3:$CV$14,4,FALSE)</f>
        <v>БРАТСКОГО</v>
      </c>
      <c r="DC5" s="10">
        <f t="shared" si="4"/>
        <v>0</v>
      </c>
      <c r="DD5" s="99">
        <f t="shared" si="12"/>
        <v>-586.02514252765286</v>
      </c>
      <c r="DE5" s="99">
        <f t="shared" si="13"/>
        <v>-586.02514252764922</v>
      </c>
      <c r="DN5" s="228"/>
    </row>
    <row r="6" spans="1:118" ht="32.450000000000003" customHeight="1" thickBot="1" x14ac:dyDescent="0.3">
      <c r="A6" s="16" t="s">
        <v>75</v>
      </c>
      <c r="B6" s="5" t="s">
        <v>4</v>
      </c>
      <c r="C6" s="6" t="s">
        <v>61</v>
      </c>
      <c r="D6" s="8" t="s">
        <v>4</v>
      </c>
      <c r="E6" s="8" t="s">
        <v>2</v>
      </c>
      <c r="F6" s="6" t="s">
        <v>61</v>
      </c>
      <c r="G6" s="6" t="s">
        <v>61</v>
      </c>
      <c r="H6" s="21" t="s">
        <v>6</v>
      </c>
      <c r="I6" s="55">
        <f t="shared" si="0"/>
        <v>11856.901582417047</v>
      </c>
      <c r="J6" s="56">
        <f t="shared" si="1"/>
        <v>4147</v>
      </c>
      <c r="K6" s="191">
        <v>400</v>
      </c>
      <c r="L6" s="191">
        <v>0</v>
      </c>
      <c r="M6" s="191">
        <v>7</v>
      </c>
      <c r="N6" s="192">
        <v>750</v>
      </c>
      <c r="O6" s="218">
        <v>5</v>
      </c>
      <c r="P6" s="193">
        <v>30</v>
      </c>
      <c r="Q6" s="190">
        <v>1700</v>
      </c>
      <c r="R6" s="190">
        <v>33</v>
      </c>
      <c r="S6" s="190">
        <v>1200</v>
      </c>
      <c r="T6" s="190">
        <v>22</v>
      </c>
      <c r="U6" s="56">
        <v>7172.9655824170477</v>
      </c>
      <c r="V6" s="57">
        <v>536.93600000000004</v>
      </c>
      <c r="W6" s="47">
        <f t="shared" si="5"/>
        <v>10996.980559999998</v>
      </c>
      <c r="X6" s="30">
        <f>SUM(Y6:AH6)</f>
        <v>4385.5023000000001</v>
      </c>
      <c r="Y6" s="216">
        <v>450</v>
      </c>
      <c r="Z6" s="191">
        <v>0.25</v>
      </c>
      <c r="AA6" s="191">
        <v>4.5</v>
      </c>
      <c r="AB6" s="192">
        <v>900</v>
      </c>
      <c r="AC6" s="218">
        <v>46.252300000000005</v>
      </c>
      <c r="AD6" s="193">
        <v>15.5</v>
      </c>
      <c r="AE6" s="190">
        <v>1800</v>
      </c>
      <c r="AF6" s="190">
        <v>49</v>
      </c>
      <c r="AG6" s="190">
        <v>1100</v>
      </c>
      <c r="AH6" s="190">
        <v>20</v>
      </c>
      <c r="AI6" s="30">
        <v>6164.4162599999981</v>
      </c>
      <c r="AJ6" s="62">
        <v>447.06200000000001</v>
      </c>
      <c r="AK6" s="55">
        <f t="shared" si="7"/>
        <v>11012.487559999998</v>
      </c>
      <c r="AL6" s="56">
        <f>SUM(AM6:AV6)</f>
        <v>4800.5200000000004</v>
      </c>
      <c r="AM6" s="211">
        <v>500.72</v>
      </c>
      <c r="AN6" s="212">
        <v>0.3</v>
      </c>
      <c r="AO6" s="212">
        <v>5.5</v>
      </c>
      <c r="AP6" s="220">
        <v>950</v>
      </c>
      <c r="AQ6" s="221">
        <v>55</v>
      </c>
      <c r="AR6" s="222">
        <v>20</v>
      </c>
      <c r="AS6" s="223">
        <v>2000</v>
      </c>
      <c r="AT6" s="223">
        <v>49</v>
      </c>
      <c r="AU6" s="223">
        <v>1200</v>
      </c>
      <c r="AV6" s="223">
        <v>20</v>
      </c>
      <c r="AW6" s="56">
        <v>5749.3985599999969</v>
      </c>
      <c r="AX6" s="66">
        <v>462.56900000000002</v>
      </c>
      <c r="AY6" s="226">
        <f t="shared" si="9"/>
        <v>11856.901582417047</v>
      </c>
      <c r="AZ6" s="71">
        <v>3931.951</v>
      </c>
      <c r="BA6" s="71">
        <v>1187.4490000000001</v>
      </c>
      <c r="BB6" s="71">
        <v>65</v>
      </c>
      <c r="BC6" s="71"/>
      <c r="BD6" s="71">
        <v>12</v>
      </c>
      <c r="BE6" s="71">
        <v>90</v>
      </c>
      <c r="BF6" s="71">
        <v>15</v>
      </c>
      <c r="BG6" s="69">
        <v>114.41166</v>
      </c>
      <c r="BH6" s="71"/>
      <c r="BI6" s="71">
        <f>165.464+65</f>
        <v>230.464</v>
      </c>
      <c r="BJ6" s="71">
        <f>198.125+250</f>
        <v>448.125</v>
      </c>
      <c r="BK6" s="71">
        <v>30</v>
      </c>
      <c r="BL6" s="71">
        <v>5</v>
      </c>
      <c r="BM6" s="71">
        <v>325.11500000000001</v>
      </c>
      <c r="BN6" s="71">
        <v>98.185000000000002</v>
      </c>
      <c r="BO6" s="70">
        <v>24.347000000000001</v>
      </c>
      <c r="BP6" s="71">
        <v>63.021000000000001</v>
      </c>
      <c r="BQ6" s="70">
        <v>26.268000000000001</v>
      </c>
      <c r="BR6" s="71">
        <v>5</v>
      </c>
      <c r="BS6" s="70">
        <v>674.74699999999996</v>
      </c>
      <c r="BT6" s="71">
        <v>0</v>
      </c>
      <c r="BU6" s="70">
        <v>686</v>
      </c>
      <c r="BV6" s="70">
        <v>3824.8179224170485</v>
      </c>
      <c r="BW6" s="77"/>
      <c r="BX6" s="84">
        <v>303.23500000000001</v>
      </c>
      <c r="BY6" s="84">
        <v>91.576999999999998</v>
      </c>
      <c r="BZ6" s="85"/>
      <c r="CA6" s="84">
        <v>52.25</v>
      </c>
      <c r="CB6" s="85"/>
      <c r="CC6" s="85"/>
      <c r="CD6" s="93">
        <v>315.226</v>
      </c>
      <c r="CE6" s="93">
        <v>95.197999999999993</v>
      </c>
      <c r="CF6" s="94"/>
      <c r="CG6" s="93">
        <v>52.144999999999996</v>
      </c>
      <c r="CH6" s="94"/>
      <c r="CI6" s="94"/>
      <c r="CJ6"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",TEXT(BV6+BU6,"0 000,000"),"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4 510,818 тыс. рублей ежегодно.</v>
      </c>
      <c r="CK6" s="201" t="s">
        <v>390</v>
      </c>
      <c r="CL6" s="101" t="s">
        <v>335</v>
      </c>
      <c r="CM6" s="101" t="s">
        <v>337</v>
      </c>
      <c r="CN6" s="101" t="s">
        <v>339</v>
      </c>
      <c r="CO6" s="4">
        <f t="shared" si="2"/>
        <v>1697.9948373625571</v>
      </c>
      <c r="CP6" s="4">
        <f t="shared" si="10"/>
        <v>1582.4877839999997</v>
      </c>
      <c r="CQ6" s="4">
        <f t="shared" si="11"/>
        <v>1582.4877839999997</v>
      </c>
      <c r="CR6" s="114" t="s">
        <v>234</v>
      </c>
      <c r="CS6" s="12" t="s">
        <v>71</v>
      </c>
      <c r="CT6" s="4">
        <f t="shared" si="3"/>
        <v>2073.5</v>
      </c>
      <c r="CU6" s="4">
        <v>762.55</v>
      </c>
      <c r="CV6" s="13">
        <v>845.6</v>
      </c>
      <c r="CW6" s="191">
        <v>0</v>
      </c>
      <c r="CX6" s="191">
        <v>0</v>
      </c>
      <c r="CY6" s="203">
        <v>15</v>
      </c>
      <c r="DC6" s="10">
        <f t="shared" si="4"/>
        <v>0</v>
      </c>
      <c r="DD6" s="99">
        <f t="shared" si="12"/>
        <v>-770.04702241705127</v>
      </c>
      <c r="DE6" s="99">
        <f t="shared" si="13"/>
        <v>-770.04702241704945</v>
      </c>
      <c r="DN6" s="228"/>
    </row>
    <row r="7" spans="1:118" ht="43.15" hidden="1" customHeight="1" thickBot="1" x14ac:dyDescent="0.3">
      <c r="A7" s="16" t="s">
        <v>76</v>
      </c>
      <c r="B7" s="5" t="s">
        <v>27</v>
      </c>
      <c r="C7" s="6" t="s">
        <v>29</v>
      </c>
      <c r="D7" s="9" t="s">
        <v>27</v>
      </c>
      <c r="E7" s="9" t="s">
        <v>26</v>
      </c>
      <c r="F7" s="6"/>
      <c r="G7" s="6"/>
      <c r="H7" s="21" t="s">
        <v>28</v>
      </c>
      <c r="I7" s="55">
        <f t="shared" si="0"/>
        <v>22452.114300000005</v>
      </c>
      <c r="J7" s="56">
        <f t="shared" si="1"/>
        <v>21378.6633</v>
      </c>
      <c r="K7" s="191">
        <v>2800</v>
      </c>
      <c r="L7" s="191">
        <v>30</v>
      </c>
      <c r="M7" s="191">
        <v>40.020000000000003</v>
      </c>
      <c r="N7" s="190">
        <v>3897.9465999999998</v>
      </c>
      <c r="O7" s="218">
        <v>518.35670000000005</v>
      </c>
      <c r="P7" s="193">
        <v>853.5</v>
      </c>
      <c r="Q7" s="190">
        <v>9235</v>
      </c>
      <c r="R7" s="190">
        <v>1257</v>
      </c>
      <c r="S7" s="190">
        <v>2693</v>
      </c>
      <c r="T7" s="190">
        <v>23</v>
      </c>
      <c r="U7" s="56">
        <v>4.5474735088646412E-12</v>
      </c>
      <c r="V7" s="57">
        <v>1073.451</v>
      </c>
      <c r="W7" s="47">
        <f t="shared" si="5"/>
        <v>18365.856</v>
      </c>
      <c r="X7" s="30">
        <f t="shared" ref="X7:X14" si="14">SUM(Y7:AH7)</f>
        <v>17472.52</v>
      </c>
      <c r="Y7" s="216">
        <v>2850</v>
      </c>
      <c r="Z7" s="191">
        <v>10.55</v>
      </c>
      <c r="AA7" s="191">
        <v>21.07</v>
      </c>
      <c r="AB7" s="190">
        <v>3900</v>
      </c>
      <c r="AC7" s="218">
        <v>305.2</v>
      </c>
      <c r="AD7" s="193">
        <v>484.7</v>
      </c>
      <c r="AE7" s="190">
        <v>6300</v>
      </c>
      <c r="AF7" s="190">
        <v>785</v>
      </c>
      <c r="AG7" s="190">
        <v>2796</v>
      </c>
      <c r="AH7" s="190">
        <v>20</v>
      </c>
      <c r="AI7" s="30">
        <v>0</v>
      </c>
      <c r="AJ7" s="62">
        <v>893.33600000000001</v>
      </c>
      <c r="AK7" s="55">
        <f t="shared" si="7"/>
        <v>18861.472399999999</v>
      </c>
      <c r="AL7" s="56">
        <f t="shared" ref="AL7:AL14" si="15">SUM(AM7:AV7)</f>
        <v>17937.1224</v>
      </c>
      <c r="AM7" s="211">
        <v>2989</v>
      </c>
      <c r="AN7" s="212">
        <v>11.1</v>
      </c>
      <c r="AO7" s="212">
        <v>22</v>
      </c>
      <c r="AP7" s="223">
        <v>3950</v>
      </c>
      <c r="AQ7" s="221">
        <v>310.0224</v>
      </c>
      <c r="AR7" s="222">
        <v>495</v>
      </c>
      <c r="AS7" s="223">
        <v>6500</v>
      </c>
      <c r="AT7" s="223">
        <v>790</v>
      </c>
      <c r="AU7" s="223">
        <v>2850</v>
      </c>
      <c r="AV7" s="223">
        <v>20</v>
      </c>
      <c r="AW7" s="56">
        <v>-1.4779288903810084E-12</v>
      </c>
      <c r="AX7" s="66">
        <v>924.35</v>
      </c>
      <c r="AY7" s="226">
        <f>SUM(AZ7:BW7)</f>
        <v>22452.114300000005</v>
      </c>
      <c r="AZ7" s="71">
        <v>4100.1540000000005</v>
      </c>
      <c r="BA7" s="71">
        <v>1238.2460000000001</v>
      </c>
      <c r="BB7" s="71">
        <v>65</v>
      </c>
      <c r="BC7" s="71"/>
      <c r="BD7" s="71">
        <v>12</v>
      </c>
      <c r="BE7" s="71">
        <v>75</v>
      </c>
      <c r="BF7" s="71">
        <v>15</v>
      </c>
      <c r="BG7" s="69">
        <v>186.20220999999998</v>
      </c>
      <c r="BH7" s="71"/>
      <c r="BI7" s="71">
        <v>254.54599999999999</v>
      </c>
      <c r="BJ7" s="71">
        <f>10.17335+321.826649999995</f>
        <v>331.999999999995</v>
      </c>
      <c r="BK7" s="71">
        <v>30</v>
      </c>
      <c r="BL7" s="71">
        <v>5</v>
      </c>
      <c r="BM7" s="71">
        <v>650.23</v>
      </c>
      <c r="BN7" s="71">
        <v>196.37</v>
      </c>
      <c r="BO7" s="70">
        <v>48.694000000000003</v>
      </c>
      <c r="BP7" s="71">
        <v>125.621</v>
      </c>
      <c r="BQ7" s="70">
        <v>52.536000000000001</v>
      </c>
      <c r="BR7" s="71">
        <v>5</v>
      </c>
      <c r="BS7" s="70">
        <v>1676.442</v>
      </c>
      <c r="BT7" s="71">
        <f>1300.464+3390.58567228605</f>
        <v>4691.0496722860498</v>
      </c>
      <c r="BU7" s="70">
        <v>199.53600000000006</v>
      </c>
      <c r="BV7" s="70">
        <v>4917.6226387914758</v>
      </c>
      <c r="BW7" s="78">
        <v>3575.8647789224801</v>
      </c>
      <c r="BX7" s="84">
        <v>606.47</v>
      </c>
      <c r="BY7" s="84">
        <v>183.154</v>
      </c>
      <c r="BZ7" s="85"/>
      <c r="CA7" s="84">
        <v>103.712</v>
      </c>
      <c r="CB7" s="85"/>
      <c r="CC7" s="85">
        <v>2620.3506000000002</v>
      </c>
      <c r="CD7" s="93">
        <v>630.452</v>
      </c>
      <c r="CE7" s="93">
        <v>190.39599999999999</v>
      </c>
      <c r="CF7" s="94"/>
      <c r="CG7" s="93">
        <v>103.502</v>
      </c>
      <c r="CH7" s="94"/>
      <c r="CI7" s="94">
        <v>3084.9530000000004</v>
      </c>
      <c r="CJ7"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",TEXT(BV7+BU7,"0 000,000")," тыс. рублей ежегодно;
2) субсидий бюджету Чеченской Республики в соответствии со ст. 142.2 Бюджетного кодекса Российской Федерации на 2026 год в размере ",TEXT(BW7,"0 000,000")," тыс. рублей")</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5 117,159 тыс. рублей ежегодно;
2) субсидий бюджету Чеченской Республики в соответствии со ст. 142.2 Бюджетного кодекса Российской Федерации на 2026 год в размере 3 575,865 тыс. рублей</v>
      </c>
      <c r="CK7" s="201" t="s">
        <v>390</v>
      </c>
      <c r="CL7" s="101" t="s">
        <v>335</v>
      </c>
      <c r="CM7" s="101" t="s">
        <v>337</v>
      </c>
      <c r="CN7" s="101" t="s">
        <v>338</v>
      </c>
      <c r="CO7" s="4">
        <f t="shared" si="2"/>
        <v>3206.7994950000007</v>
      </c>
      <c r="CP7" s="4">
        <f t="shared" si="10"/>
        <v>2620.8780000000002</v>
      </c>
      <c r="CQ7" s="4">
        <f t="shared" si="11"/>
        <v>2690.5683599999998</v>
      </c>
      <c r="CR7" s="114" t="s">
        <v>235</v>
      </c>
      <c r="CS7" s="12" t="s">
        <v>74</v>
      </c>
      <c r="CT7" s="4">
        <f t="shared" si="3"/>
        <v>10689.33165</v>
      </c>
      <c r="CU7" s="4">
        <v>7210.01</v>
      </c>
      <c r="CV7" s="13">
        <v>8262.6699999999983</v>
      </c>
      <c r="CW7" s="191">
        <v>9.9600000000000009</v>
      </c>
      <c r="CX7" s="218">
        <v>20.88</v>
      </c>
      <c r="CY7" s="205" t="s">
        <v>357</v>
      </c>
      <c r="DC7" s="10">
        <f t="shared" si="4"/>
        <v>0</v>
      </c>
      <c r="DD7" s="99">
        <f t="shared" si="12"/>
        <v>-2950.6291210775307</v>
      </c>
      <c r="DE7" s="99">
        <f t="shared" si="13"/>
        <v>-2950.6291210775271</v>
      </c>
      <c r="DN7" s="228"/>
    </row>
    <row r="8" spans="1:118" ht="42" hidden="1" customHeight="1" thickBot="1" x14ac:dyDescent="0.3">
      <c r="A8" s="17"/>
      <c r="B8" s="5" t="s">
        <v>15</v>
      </c>
      <c r="C8" s="6" t="s">
        <v>17</v>
      </c>
      <c r="D8" s="9" t="s">
        <v>15</v>
      </c>
      <c r="E8" s="9" t="s">
        <v>14</v>
      </c>
      <c r="F8" s="6"/>
      <c r="G8" s="6"/>
      <c r="H8" s="21" t="s">
        <v>16</v>
      </c>
      <c r="I8" s="55">
        <f t="shared" si="0"/>
        <v>14687.296785055301</v>
      </c>
      <c r="J8" s="56">
        <f t="shared" si="1"/>
        <v>3271.06</v>
      </c>
      <c r="K8" s="191">
        <v>350</v>
      </c>
      <c r="L8" s="191">
        <v>0.06</v>
      </c>
      <c r="M8" s="191">
        <v>6</v>
      </c>
      <c r="N8" s="190">
        <v>300</v>
      </c>
      <c r="O8" s="218">
        <v>50</v>
      </c>
      <c r="P8" s="193">
        <v>5</v>
      </c>
      <c r="Q8" s="190">
        <v>1300</v>
      </c>
      <c r="R8" s="190">
        <v>160</v>
      </c>
      <c r="S8" s="190">
        <v>1100</v>
      </c>
      <c r="T8" s="190">
        <v>0</v>
      </c>
      <c r="U8" s="56">
        <v>10879.300785055302</v>
      </c>
      <c r="V8" s="57">
        <v>536.93600000000004</v>
      </c>
      <c r="W8" s="47">
        <f t="shared" si="5"/>
        <v>13716.41987</v>
      </c>
      <c r="X8" s="30">
        <f t="shared" si="14"/>
        <v>3347.85</v>
      </c>
      <c r="Y8" s="216">
        <v>300</v>
      </c>
      <c r="Z8" s="191">
        <v>0.15</v>
      </c>
      <c r="AA8" s="191">
        <v>5.5</v>
      </c>
      <c r="AB8" s="190">
        <v>350</v>
      </c>
      <c r="AC8" s="218">
        <v>42</v>
      </c>
      <c r="AD8" s="193">
        <v>5.2</v>
      </c>
      <c r="AE8" s="190">
        <v>1500</v>
      </c>
      <c r="AF8" s="190">
        <v>145</v>
      </c>
      <c r="AG8" s="190">
        <v>1000</v>
      </c>
      <c r="AH8" s="190">
        <v>0</v>
      </c>
      <c r="AI8" s="30">
        <v>9921.5078699999995</v>
      </c>
      <c r="AJ8" s="62">
        <v>447.06200000000001</v>
      </c>
      <c r="AK8" s="55">
        <f t="shared" si="7"/>
        <v>13731.926869999999</v>
      </c>
      <c r="AL8" s="56">
        <f t="shared" si="15"/>
        <v>3604.2</v>
      </c>
      <c r="AM8" s="211">
        <v>350</v>
      </c>
      <c r="AN8" s="212">
        <v>0.2</v>
      </c>
      <c r="AO8" s="212">
        <v>6.5</v>
      </c>
      <c r="AP8" s="223">
        <v>400</v>
      </c>
      <c r="AQ8" s="221">
        <v>42</v>
      </c>
      <c r="AR8" s="222">
        <v>5.5</v>
      </c>
      <c r="AS8" s="223">
        <v>1600</v>
      </c>
      <c r="AT8" s="223">
        <v>150</v>
      </c>
      <c r="AU8" s="223">
        <v>1050</v>
      </c>
      <c r="AV8" s="223">
        <v>0</v>
      </c>
      <c r="AW8" s="56">
        <v>9665.1578699999991</v>
      </c>
      <c r="AX8" s="66">
        <v>462.56900000000002</v>
      </c>
      <c r="AY8" s="226">
        <f t="shared" si="9"/>
        <v>14687.296785055301</v>
      </c>
      <c r="AZ8" s="71">
        <v>3576.498</v>
      </c>
      <c r="BA8" s="71">
        <v>1080.1020000000001</v>
      </c>
      <c r="BB8" s="71">
        <v>65</v>
      </c>
      <c r="BC8" s="71"/>
      <c r="BD8" s="71">
        <v>12</v>
      </c>
      <c r="BE8" s="71">
        <v>90</v>
      </c>
      <c r="BF8" s="71">
        <v>15</v>
      </c>
      <c r="BG8" s="69">
        <v>210.2276</v>
      </c>
      <c r="BH8" s="71">
        <v>120</v>
      </c>
      <c r="BI8" s="71">
        <v>226.45600000000002</v>
      </c>
      <c r="BJ8" s="71">
        <v>298</v>
      </c>
      <c r="BK8" s="71">
        <v>60</v>
      </c>
      <c r="BL8" s="71">
        <v>5</v>
      </c>
      <c r="BM8" s="71">
        <v>325.11500000000001</v>
      </c>
      <c r="BN8" s="71">
        <v>98.185000000000002</v>
      </c>
      <c r="BO8" s="70">
        <v>24.347000000000001</v>
      </c>
      <c r="BP8" s="71">
        <v>63.021000000000001</v>
      </c>
      <c r="BQ8" s="70">
        <v>26.268000000000001</v>
      </c>
      <c r="BR8" s="71">
        <v>5</v>
      </c>
      <c r="BS8" s="70">
        <v>1144.2470000000001</v>
      </c>
      <c r="BT8" s="71">
        <v>0</v>
      </c>
      <c r="BU8" s="70">
        <v>686</v>
      </c>
      <c r="BV8" s="70">
        <v>6556.8301850553007</v>
      </c>
      <c r="BW8" s="77"/>
      <c r="BX8" s="84">
        <v>303.23500000000001</v>
      </c>
      <c r="BY8" s="84">
        <v>91.576999999999998</v>
      </c>
      <c r="BZ8" s="85"/>
      <c r="CA8" s="84">
        <v>52.25</v>
      </c>
      <c r="CB8" s="85"/>
      <c r="CC8" s="85"/>
      <c r="CD8" s="93">
        <v>315.226</v>
      </c>
      <c r="CE8" s="93">
        <v>95.197999999999993</v>
      </c>
      <c r="CF8" s="94"/>
      <c r="CG8" s="93">
        <v>52.144999999999996</v>
      </c>
      <c r="CH8" s="94"/>
      <c r="CI8" s="94"/>
      <c r="CJ8" s="101" t="str">
        <f t="shared" ref="CJ8:CJ14" si="16">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",TEXT(BV8+BU8,"0 000,000"),"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7 242,830 тыс. рублей ежегодно.</v>
      </c>
      <c r="CK8" s="201" t="s">
        <v>390</v>
      </c>
      <c r="CL8" s="101" t="s">
        <v>335</v>
      </c>
      <c r="CM8" s="101" t="s">
        <v>337</v>
      </c>
      <c r="CN8" s="101" t="s">
        <v>339</v>
      </c>
      <c r="CO8" s="4">
        <f t="shared" si="2"/>
        <v>2122.554117758295</v>
      </c>
      <c r="CP8" s="4">
        <f t="shared" si="10"/>
        <v>1990.4036804999998</v>
      </c>
      <c r="CQ8" s="4">
        <f t="shared" si="11"/>
        <v>1990.4036804999998</v>
      </c>
      <c r="CR8" s="114" t="s">
        <v>236</v>
      </c>
      <c r="CS8" s="12" t="s">
        <v>66</v>
      </c>
      <c r="CT8" s="4">
        <f t="shared" si="3"/>
        <v>1635.53</v>
      </c>
      <c r="CU8" s="4">
        <v>1336.1</v>
      </c>
      <c r="CV8" s="13">
        <v>1362.6</v>
      </c>
      <c r="CW8" s="191">
        <v>0</v>
      </c>
      <c r="CX8" s="191">
        <v>0</v>
      </c>
      <c r="CY8" s="14" t="str">
        <f>VLOOKUP($CY$109,$B$3:$CV$14,7,FALSE)</f>
        <v>Братского</v>
      </c>
      <c r="DC8" s="10">
        <f t="shared" si="4"/>
        <v>0</v>
      </c>
      <c r="DD8" s="99">
        <f t="shared" si="12"/>
        <v>-881.00291505530367</v>
      </c>
      <c r="DE8" s="99">
        <f t="shared" si="13"/>
        <v>-881.00291505530186</v>
      </c>
      <c r="DN8" s="228"/>
    </row>
    <row r="9" spans="1:118" ht="29.25" hidden="1" customHeight="1" thickBot="1" x14ac:dyDescent="0.3">
      <c r="A9" s="17"/>
      <c r="B9" t="s">
        <v>73</v>
      </c>
      <c r="C9" s="6" t="s">
        <v>41</v>
      </c>
      <c r="D9" s="9" t="s">
        <v>39</v>
      </c>
      <c r="E9" s="9" t="s">
        <v>38</v>
      </c>
      <c r="F9" s="6"/>
      <c r="G9" s="6"/>
      <c r="H9" s="21" t="s">
        <v>40</v>
      </c>
      <c r="I9" s="55">
        <f t="shared" si="0"/>
        <v>9765.1502363744294</v>
      </c>
      <c r="J9" s="56">
        <f t="shared" si="1"/>
        <v>6561.4</v>
      </c>
      <c r="K9" s="191">
        <v>1500</v>
      </c>
      <c r="L9" s="191">
        <v>4.4000000000000004</v>
      </c>
      <c r="M9" s="191">
        <v>11</v>
      </c>
      <c r="N9" s="190">
        <v>400</v>
      </c>
      <c r="O9" s="218">
        <v>40</v>
      </c>
      <c r="P9" s="193">
        <v>15</v>
      </c>
      <c r="Q9" s="190">
        <v>2800</v>
      </c>
      <c r="R9" s="190">
        <v>644</v>
      </c>
      <c r="S9" s="190">
        <v>1100</v>
      </c>
      <c r="T9" s="190">
        <v>24</v>
      </c>
      <c r="U9" s="56">
        <v>2130.2992363744297</v>
      </c>
      <c r="V9" s="57">
        <v>1073.451</v>
      </c>
      <c r="W9" s="47">
        <f t="shared" si="5"/>
        <v>7806.9540000000006</v>
      </c>
      <c r="X9" s="30">
        <f t="shared" si="14"/>
        <v>7360.68</v>
      </c>
      <c r="Y9" s="216">
        <v>1350</v>
      </c>
      <c r="Z9" s="191">
        <v>6.68</v>
      </c>
      <c r="AA9" s="191">
        <v>12</v>
      </c>
      <c r="AB9" s="190">
        <v>650</v>
      </c>
      <c r="AC9" s="218">
        <v>32</v>
      </c>
      <c r="AD9" s="193">
        <v>16</v>
      </c>
      <c r="AE9" s="190">
        <v>3300</v>
      </c>
      <c r="AF9" s="190">
        <v>820</v>
      </c>
      <c r="AG9" s="190">
        <v>1150</v>
      </c>
      <c r="AH9" s="190">
        <v>24</v>
      </c>
      <c r="AI9" s="30">
        <v>0</v>
      </c>
      <c r="AJ9" s="62">
        <v>446.274</v>
      </c>
      <c r="AK9" s="55">
        <f t="shared" si="7"/>
        <v>8058.4810000000007</v>
      </c>
      <c r="AL9" s="56">
        <f t="shared" si="15"/>
        <v>7596.7</v>
      </c>
      <c r="AM9" s="211">
        <v>1420</v>
      </c>
      <c r="AN9" s="212">
        <v>6.7</v>
      </c>
      <c r="AO9" s="212">
        <v>13</v>
      </c>
      <c r="AP9" s="223">
        <v>750</v>
      </c>
      <c r="AQ9" s="221">
        <v>35</v>
      </c>
      <c r="AR9" s="222">
        <v>18</v>
      </c>
      <c r="AS9" s="223">
        <v>3350</v>
      </c>
      <c r="AT9" s="223">
        <v>825</v>
      </c>
      <c r="AU9" s="223">
        <v>1155</v>
      </c>
      <c r="AV9" s="223">
        <v>24</v>
      </c>
      <c r="AW9" s="56">
        <v>8.5265128291212022E-13</v>
      </c>
      <c r="AX9" s="66">
        <v>461.78100000000001</v>
      </c>
      <c r="AY9" s="226">
        <f t="shared" si="9"/>
        <v>9765.1502363744257</v>
      </c>
      <c r="AZ9" s="71">
        <v>3912.9029999999998</v>
      </c>
      <c r="BA9" s="71">
        <v>1181.6969999999999</v>
      </c>
      <c r="BB9" s="71">
        <v>65</v>
      </c>
      <c r="BC9" s="71"/>
      <c r="BD9" s="71">
        <v>10</v>
      </c>
      <c r="BE9" s="71">
        <v>110</v>
      </c>
      <c r="BF9" s="71">
        <v>15</v>
      </c>
      <c r="BG9" s="69">
        <v>116.39252</v>
      </c>
      <c r="BH9" s="71"/>
      <c r="BI9" s="71">
        <v>306.45600000000002</v>
      </c>
      <c r="BJ9" s="71">
        <v>300</v>
      </c>
      <c r="BK9" s="71">
        <v>80</v>
      </c>
      <c r="BL9" s="71">
        <v>5</v>
      </c>
      <c r="BM9" s="71">
        <v>650.23</v>
      </c>
      <c r="BN9" s="71">
        <v>196.37</v>
      </c>
      <c r="BO9" s="70">
        <v>48.694000000000003</v>
      </c>
      <c r="BP9" s="71">
        <v>125.621</v>
      </c>
      <c r="BQ9" s="70">
        <v>52.536000000000001</v>
      </c>
      <c r="BR9" s="71">
        <v>5</v>
      </c>
      <c r="BS9" s="70">
        <v>491.44600000000003</v>
      </c>
      <c r="BT9" s="70">
        <v>1000</v>
      </c>
      <c r="BU9" s="71">
        <v>0</v>
      </c>
      <c r="BV9" s="70">
        <v>1092.8047163744266</v>
      </c>
      <c r="BW9" s="77"/>
      <c r="BX9" s="84">
        <v>303.23500000000001</v>
      </c>
      <c r="BY9" s="84">
        <v>91.576999999999998</v>
      </c>
      <c r="BZ9" s="85"/>
      <c r="CA9" s="84">
        <v>51.462000000000003</v>
      </c>
      <c r="CB9" s="85"/>
      <c r="CC9" s="85">
        <v>11.52819</v>
      </c>
      <c r="CD9" s="93">
        <v>315.226</v>
      </c>
      <c r="CE9" s="93">
        <v>95.197999999999993</v>
      </c>
      <c r="CF9" s="94"/>
      <c r="CG9" s="93">
        <v>51.356999999999999</v>
      </c>
      <c r="CH9" s="94"/>
      <c r="CI9" s="94">
        <v>247.54819000000001</v>
      </c>
      <c r="CJ9"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1 092,805 тыс. рублей ежегодно.</v>
      </c>
      <c r="CK9" s="201" t="s">
        <v>390</v>
      </c>
      <c r="CL9" s="101" t="s">
        <v>335</v>
      </c>
      <c r="CM9" s="101" t="s">
        <v>337</v>
      </c>
      <c r="CN9" s="101" t="s">
        <v>338</v>
      </c>
      <c r="CO9" s="4">
        <f t="shared" si="2"/>
        <v>1303.7548854561642</v>
      </c>
      <c r="CP9" s="4">
        <f t="shared" si="10"/>
        <v>1104.1020000000001</v>
      </c>
      <c r="CQ9" s="4">
        <f t="shared" si="11"/>
        <v>1139.5050000000001</v>
      </c>
      <c r="CR9" s="114" t="s">
        <v>237</v>
      </c>
      <c r="CS9" s="12" t="s">
        <v>64</v>
      </c>
      <c r="CT9" s="4">
        <f t="shared" si="3"/>
        <v>3280.7</v>
      </c>
      <c r="CU9" s="4">
        <v>2522.9499999999998</v>
      </c>
      <c r="CV9" s="13">
        <v>2752.7</v>
      </c>
      <c r="CW9" s="191">
        <v>23</v>
      </c>
      <c r="CX9" s="191">
        <v>0</v>
      </c>
      <c r="CY9" s="14">
        <f>VLOOKUP($CY$109,$B$3:$CV$14,8,FALSE)</f>
        <v>9589.2657540221207</v>
      </c>
      <c r="CZ9" s="24" t="s">
        <v>8</v>
      </c>
      <c r="DA9" s="43"/>
      <c r="DB9" s="236">
        <v>2023</v>
      </c>
      <c r="DC9" s="10">
        <f t="shared" si="4"/>
        <v>0</v>
      </c>
      <c r="DD9" s="99">
        <f t="shared" si="12"/>
        <v>-1342.5474263744263</v>
      </c>
      <c r="DE9" s="99">
        <f t="shared" si="13"/>
        <v>-1342.5474263744263</v>
      </c>
      <c r="DN9" s="228"/>
    </row>
    <row r="10" spans="1:118" ht="17.25" hidden="1" customHeight="1" thickBot="1" x14ac:dyDescent="0.3">
      <c r="A10" s="17"/>
      <c r="B10" s="5" t="s">
        <v>48</v>
      </c>
      <c r="C10" s="6" t="s">
        <v>49</v>
      </c>
      <c r="D10" s="9" t="s">
        <v>48</v>
      </c>
      <c r="E10" s="9" t="s">
        <v>46</v>
      </c>
      <c r="F10" s="6"/>
      <c r="G10" s="6"/>
      <c r="H10" s="21" t="s">
        <v>47</v>
      </c>
      <c r="I10" s="55">
        <f t="shared" si="0"/>
        <v>10922.613968680873</v>
      </c>
      <c r="J10" s="56">
        <f t="shared" si="1"/>
        <v>977.28</v>
      </c>
      <c r="K10" s="191">
        <v>207.28</v>
      </c>
      <c r="L10" s="191">
        <v>0</v>
      </c>
      <c r="M10" s="191">
        <v>7</v>
      </c>
      <c r="N10" s="190">
        <v>0</v>
      </c>
      <c r="O10" s="218">
        <v>3</v>
      </c>
      <c r="P10" s="193">
        <v>1</v>
      </c>
      <c r="Q10" s="190">
        <v>380</v>
      </c>
      <c r="R10" s="190">
        <v>55</v>
      </c>
      <c r="S10" s="190">
        <v>320</v>
      </c>
      <c r="T10" s="190">
        <v>4</v>
      </c>
      <c r="U10" s="56">
        <v>9408.3979686808725</v>
      </c>
      <c r="V10" s="57">
        <v>536.93600000000004</v>
      </c>
      <c r="W10" s="47">
        <f t="shared" si="5"/>
        <v>10937.86816</v>
      </c>
      <c r="X10" s="30">
        <f t="shared" si="14"/>
        <v>1290.1500000000001</v>
      </c>
      <c r="Y10" s="216">
        <v>160</v>
      </c>
      <c r="Z10" s="191">
        <v>0.15</v>
      </c>
      <c r="AA10" s="191">
        <v>2.8</v>
      </c>
      <c r="AB10" s="190">
        <v>180</v>
      </c>
      <c r="AC10" s="218">
        <v>2.1</v>
      </c>
      <c r="AD10" s="193">
        <v>1.1000000000000001</v>
      </c>
      <c r="AE10" s="190">
        <v>500</v>
      </c>
      <c r="AF10" s="190">
        <v>41</v>
      </c>
      <c r="AG10" s="190">
        <v>400</v>
      </c>
      <c r="AH10" s="190">
        <v>3</v>
      </c>
      <c r="AI10" s="30">
        <v>9200.6561600000005</v>
      </c>
      <c r="AJ10" s="62">
        <v>447.06200000000001</v>
      </c>
      <c r="AK10" s="55">
        <f t="shared" si="7"/>
        <v>10953.37516</v>
      </c>
      <c r="AL10" s="56">
        <f t="shared" si="15"/>
        <v>1463.85</v>
      </c>
      <c r="AM10" s="211">
        <v>180</v>
      </c>
      <c r="AN10" s="212">
        <v>0.2</v>
      </c>
      <c r="AO10" s="212">
        <v>2.85</v>
      </c>
      <c r="AP10" s="223">
        <v>280</v>
      </c>
      <c r="AQ10" s="221">
        <v>2.5</v>
      </c>
      <c r="AR10" s="222">
        <v>1.3</v>
      </c>
      <c r="AS10" s="223">
        <v>539</v>
      </c>
      <c r="AT10" s="223">
        <v>50</v>
      </c>
      <c r="AU10" s="223">
        <v>405</v>
      </c>
      <c r="AV10" s="223">
        <v>3</v>
      </c>
      <c r="AW10" s="56">
        <v>9026.9561599999997</v>
      </c>
      <c r="AX10" s="66">
        <v>462.56900000000002</v>
      </c>
      <c r="AY10" s="226">
        <f t="shared" si="9"/>
        <v>10922.613968680873</v>
      </c>
      <c r="AZ10" s="71">
        <v>2707.6039999999998</v>
      </c>
      <c r="BA10" s="71">
        <v>817.69600000000003</v>
      </c>
      <c r="BB10" s="71">
        <v>65</v>
      </c>
      <c r="BC10" s="71"/>
      <c r="BD10" s="71">
        <v>12</v>
      </c>
      <c r="BE10" s="71">
        <v>90</v>
      </c>
      <c r="BF10" s="71">
        <v>15</v>
      </c>
      <c r="BG10" s="69">
        <v>55.335500000000003</v>
      </c>
      <c r="BH10" s="71">
        <v>60</v>
      </c>
      <c r="BI10" s="71">
        <v>160</v>
      </c>
      <c r="BJ10" s="71">
        <v>312.77</v>
      </c>
      <c r="BK10" s="71">
        <v>35</v>
      </c>
      <c r="BL10" s="71">
        <v>5</v>
      </c>
      <c r="BM10" s="71">
        <v>325.11500000000001</v>
      </c>
      <c r="BN10" s="71">
        <v>98.185000000000002</v>
      </c>
      <c r="BO10" s="70">
        <v>24.347000000000001</v>
      </c>
      <c r="BP10" s="71">
        <v>63.021000000000001</v>
      </c>
      <c r="BQ10" s="70">
        <v>26.268000000000001</v>
      </c>
      <c r="BR10" s="71">
        <v>5</v>
      </c>
      <c r="BS10" s="70">
        <v>351.24700000000001</v>
      </c>
      <c r="BT10" s="70">
        <v>230</v>
      </c>
      <c r="BU10" s="71">
        <v>0</v>
      </c>
      <c r="BV10" s="70">
        <v>5464.025468680873</v>
      </c>
      <c r="BW10" s="77"/>
      <c r="BX10" s="84">
        <v>303.23500000000001</v>
      </c>
      <c r="BY10" s="84">
        <v>91.576999999999998</v>
      </c>
      <c r="BZ10" s="85"/>
      <c r="CA10" s="84">
        <v>52.25</v>
      </c>
      <c r="CB10" s="85"/>
      <c r="CC10" s="85"/>
      <c r="CD10" s="93">
        <v>315.226</v>
      </c>
      <c r="CE10" s="93">
        <v>95.197999999999993</v>
      </c>
      <c r="CF10" s="94"/>
      <c r="CG10" s="93">
        <v>52.144999999999996</v>
      </c>
      <c r="CH10" s="94"/>
      <c r="CI10" s="94"/>
      <c r="CJ10"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5 464,025 тыс. рублей ежегодно.</v>
      </c>
      <c r="CK10" s="201" t="s">
        <v>390</v>
      </c>
      <c r="CL10" s="101" t="s">
        <v>335</v>
      </c>
      <c r="CM10" s="101" t="s">
        <v>339</v>
      </c>
      <c r="CN10" s="101" t="s">
        <v>339</v>
      </c>
      <c r="CO10" s="4">
        <f t="shared" si="2"/>
        <v>1557.851695302131</v>
      </c>
      <c r="CP10" s="4">
        <f t="shared" si="10"/>
        <v>1573.6209240000001</v>
      </c>
      <c r="CQ10" s="4">
        <f t="shared" si="11"/>
        <v>1573.6209240000001</v>
      </c>
      <c r="CR10" s="114" t="s">
        <v>238</v>
      </c>
      <c r="CS10" s="12" t="s">
        <v>69</v>
      </c>
      <c r="CT10" s="4">
        <f t="shared" si="3"/>
        <v>488.64</v>
      </c>
      <c r="CU10" s="4">
        <v>404.5</v>
      </c>
      <c r="CV10" s="13">
        <v>420</v>
      </c>
      <c r="CW10" s="191">
        <v>0</v>
      </c>
      <c r="CX10" s="191">
        <v>0</v>
      </c>
      <c r="CY10" s="14">
        <f>VLOOKUP($CY$109,$B$3:$CV$14,9,FALSE)</f>
        <v>2472.8000000000002</v>
      </c>
      <c r="CZ10" s="24" t="s">
        <v>99</v>
      </c>
      <c r="DA10" s="43"/>
      <c r="DB10" s="237"/>
      <c r="DC10" s="10">
        <f t="shared" si="4"/>
        <v>0</v>
      </c>
      <c r="DD10" s="99">
        <f t="shared" si="12"/>
        <v>105.12819131912511</v>
      </c>
      <c r="DE10" s="99">
        <f t="shared" si="13"/>
        <v>105.12819131912693</v>
      </c>
      <c r="DN10" s="228"/>
    </row>
    <row r="11" spans="1:118" ht="17.25" hidden="1" customHeight="1" thickBot="1" x14ac:dyDescent="0.3">
      <c r="A11" s="17"/>
      <c r="B11" s="5" t="s">
        <v>43</v>
      </c>
      <c r="C11" s="6" t="s">
        <v>45</v>
      </c>
      <c r="D11" s="9" t="s">
        <v>43</v>
      </c>
      <c r="E11" s="9" t="s">
        <v>42</v>
      </c>
      <c r="F11" s="6"/>
      <c r="G11" s="6"/>
      <c r="H11" s="21" t="s">
        <v>44</v>
      </c>
      <c r="I11" s="55">
        <f t="shared" si="0"/>
        <v>7573.2087961532225</v>
      </c>
      <c r="J11" s="56">
        <f t="shared" si="1"/>
        <v>1049.0999999999999</v>
      </c>
      <c r="K11" s="191">
        <v>100</v>
      </c>
      <c r="L11" s="191">
        <v>0.1</v>
      </c>
      <c r="M11" s="191">
        <v>1</v>
      </c>
      <c r="N11" s="190">
        <v>20</v>
      </c>
      <c r="O11" s="218">
        <v>0</v>
      </c>
      <c r="P11" s="193">
        <v>0</v>
      </c>
      <c r="Q11" s="190">
        <v>580</v>
      </c>
      <c r="R11" s="190">
        <v>18</v>
      </c>
      <c r="S11" s="190">
        <v>330</v>
      </c>
      <c r="T11" s="190">
        <v>0</v>
      </c>
      <c r="U11" s="56">
        <v>6297.9617961532231</v>
      </c>
      <c r="V11" s="57">
        <v>226.14699999999999</v>
      </c>
      <c r="W11" s="47">
        <f t="shared" si="5"/>
        <v>7007.0642800000005</v>
      </c>
      <c r="X11" s="30">
        <f t="shared" si="14"/>
        <v>1070.96</v>
      </c>
      <c r="Y11" s="216">
        <v>100.76</v>
      </c>
      <c r="Z11" s="191">
        <v>0.15</v>
      </c>
      <c r="AA11" s="191">
        <v>1.05</v>
      </c>
      <c r="AB11" s="190">
        <v>15</v>
      </c>
      <c r="AC11" s="218">
        <v>0</v>
      </c>
      <c r="AD11" s="193">
        <v>0</v>
      </c>
      <c r="AE11" s="190">
        <v>620</v>
      </c>
      <c r="AF11" s="190">
        <v>3</v>
      </c>
      <c r="AG11" s="190">
        <v>331</v>
      </c>
      <c r="AH11" s="190">
        <v>0</v>
      </c>
      <c r="AI11" s="30">
        <v>5751.45928</v>
      </c>
      <c r="AJ11" s="62">
        <v>184.64500000000001</v>
      </c>
      <c r="AK11" s="55">
        <f t="shared" si="7"/>
        <v>7013.2632800000001</v>
      </c>
      <c r="AL11" s="56">
        <f t="shared" si="15"/>
        <v>1104.78</v>
      </c>
      <c r="AM11" s="211">
        <v>110</v>
      </c>
      <c r="AN11" s="212">
        <v>0.2</v>
      </c>
      <c r="AO11" s="212">
        <v>1.08</v>
      </c>
      <c r="AP11" s="223">
        <v>30</v>
      </c>
      <c r="AQ11" s="221">
        <v>0</v>
      </c>
      <c r="AR11" s="222">
        <v>0</v>
      </c>
      <c r="AS11" s="223">
        <v>625</v>
      </c>
      <c r="AT11" s="223">
        <v>3.5</v>
      </c>
      <c r="AU11" s="223">
        <v>335</v>
      </c>
      <c r="AV11" s="223">
        <v>0</v>
      </c>
      <c r="AW11" s="56">
        <v>5717.6392800000003</v>
      </c>
      <c r="AX11" s="66">
        <v>190.84399999999999</v>
      </c>
      <c r="AY11" s="226">
        <f t="shared" si="9"/>
        <v>7573.2087961532234</v>
      </c>
      <c r="AZ11" s="71">
        <v>2662.058</v>
      </c>
      <c r="BA11" s="71">
        <v>803.94200000000001</v>
      </c>
      <c r="BB11" s="71">
        <v>65</v>
      </c>
      <c r="BC11" s="71"/>
      <c r="BD11" s="71">
        <v>12</v>
      </c>
      <c r="BE11" s="71">
        <v>110</v>
      </c>
      <c r="BF11" s="71">
        <v>15</v>
      </c>
      <c r="BG11" s="69">
        <v>81.435419999999993</v>
      </c>
      <c r="BH11" s="71"/>
      <c r="BI11" s="71">
        <v>145.77000000000001</v>
      </c>
      <c r="BJ11" s="71">
        <v>397</v>
      </c>
      <c r="BK11" s="71">
        <v>15</v>
      </c>
      <c r="BL11" s="71">
        <v>5</v>
      </c>
      <c r="BM11" s="71">
        <v>130.04599999999999</v>
      </c>
      <c r="BN11" s="71">
        <v>39.274000000000001</v>
      </c>
      <c r="BO11" s="70">
        <v>9.7390000000000008</v>
      </c>
      <c r="BP11" s="71">
        <v>36.581000000000003</v>
      </c>
      <c r="BQ11" s="70">
        <v>10.507</v>
      </c>
      <c r="BR11" s="71">
        <v>5</v>
      </c>
      <c r="BS11" s="70">
        <v>358.24599999999998</v>
      </c>
      <c r="BT11" s="70">
        <v>486</v>
      </c>
      <c r="BU11" s="71">
        <v>0</v>
      </c>
      <c r="BV11" s="70">
        <v>2185.6103761532236</v>
      </c>
      <c r="BW11" s="77"/>
      <c r="BX11" s="84">
        <v>121.3</v>
      </c>
      <c r="BY11" s="84">
        <v>36.631999999999998</v>
      </c>
      <c r="BZ11" s="85"/>
      <c r="CA11" s="84">
        <v>26.712999999999997</v>
      </c>
      <c r="CB11" s="85"/>
      <c r="CC11" s="85"/>
      <c r="CD11" s="93">
        <v>126.092</v>
      </c>
      <c r="CE11" s="93">
        <v>38.08</v>
      </c>
      <c r="CF11" s="94"/>
      <c r="CG11" s="93">
        <v>26.672000000000001</v>
      </c>
      <c r="CH11" s="94"/>
      <c r="CI11" s="94"/>
      <c r="CJ11"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2 185,610 тыс. рублей ежегодно.</v>
      </c>
      <c r="CK11" s="201" t="s">
        <v>390</v>
      </c>
      <c r="CL11" s="101" t="s">
        <v>335</v>
      </c>
      <c r="CM11" s="101" t="s">
        <v>339</v>
      </c>
      <c r="CN11" s="101" t="s">
        <v>339</v>
      </c>
      <c r="CO11" s="4">
        <f t="shared" si="2"/>
        <v>1102.0592694229833</v>
      </c>
      <c r="CP11" s="4">
        <f t="shared" si="10"/>
        <v>1023.362892</v>
      </c>
      <c r="CQ11" s="4">
        <f t="shared" si="11"/>
        <v>1023.362892</v>
      </c>
      <c r="CR11" s="114" t="s">
        <v>239</v>
      </c>
      <c r="CS11" s="12" t="s">
        <v>67</v>
      </c>
      <c r="CT11" s="4">
        <f t="shared" si="3"/>
        <v>524.54999999999995</v>
      </c>
      <c r="CU11" s="4">
        <v>251.25</v>
      </c>
      <c r="CV11" s="13">
        <v>259.5</v>
      </c>
      <c r="CW11" s="191">
        <v>0</v>
      </c>
      <c r="CX11" s="191">
        <v>0</v>
      </c>
      <c r="CY11" s="14">
        <f>VLOOKUP($CY$109,$B$3:$CV$14,10,FALSE)</f>
        <v>300</v>
      </c>
      <c r="CZ11" s="19" t="s">
        <v>351</v>
      </c>
      <c r="DA11" s="44" t="s">
        <v>79</v>
      </c>
      <c r="DB11" s="237"/>
      <c r="DC11" s="10">
        <f t="shared" si="4"/>
        <v>0</v>
      </c>
      <c r="DD11" s="99">
        <f t="shared" si="12"/>
        <v>-524.64251615322246</v>
      </c>
      <c r="DE11" s="99">
        <f t="shared" si="13"/>
        <v>-524.64251615322246</v>
      </c>
      <c r="DN11" s="228"/>
    </row>
    <row r="12" spans="1:118" ht="17.25" hidden="1" customHeight="1" thickBot="1" x14ac:dyDescent="0.3">
      <c r="A12" s="17"/>
      <c r="B12" s="5" t="s">
        <v>24</v>
      </c>
      <c r="C12" s="6" t="s">
        <v>25</v>
      </c>
      <c r="D12" s="9" t="s">
        <v>24</v>
      </c>
      <c r="E12" s="9" t="s">
        <v>22</v>
      </c>
      <c r="F12" s="6"/>
      <c r="G12" s="6"/>
      <c r="H12" s="21" t="s">
        <v>23</v>
      </c>
      <c r="I12" s="55">
        <f t="shared" si="0"/>
        <v>7370.7762626382519</v>
      </c>
      <c r="J12" s="56">
        <f t="shared" si="1"/>
        <v>200.5</v>
      </c>
      <c r="K12" s="191">
        <v>75</v>
      </c>
      <c r="L12" s="191">
        <v>0</v>
      </c>
      <c r="M12" s="191">
        <v>0</v>
      </c>
      <c r="N12" s="190">
        <v>0</v>
      </c>
      <c r="O12" s="218">
        <v>0</v>
      </c>
      <c r="P12" s="193">
        <v>0.5</v>
      </c>
      <c r="Q12" s="190">
        <v>18</v>
      </c>
      <c r="R12" s="190">
        <v>27</v>
      </c>
      <c r="S12" s="190">
        <v>80</v>
      </c>
      <c r="T12" s="190">
        <v>0</v>
      </c>
      <c r="U12" s="56">
        <v>6944.1292626382519</v>
      </c>
      <c r="V12" s="57">
        <v>226.14699999999999</v>
      </c>
      <c r="W12" s="47">
        <f t="shared" si="5"/>
        <v>5794.4320000000007</v>
      </c>
      <c r="X12" s="30">
        <f t="shared" si="14"/>
        <v>263.60000000000002</v>
      </c>
      <c r="Y12" s="216">
        <v>90</v>
      </c>
      <c r="Z12" s="191">
        <v>0</v>
      </c>
      <c r="AA12" s="191">
        <v>0</v>
      </c>
      <c r="AB12" s="190">
        <v>0</v>
      </c>
      <c r="AC12" s="218">
        <v>0</v>
      </c>
      <c r="AD12" s="193">
        <v>0.6</v>
      </c>
      <c r="AE12" s="190">
        <v>42</v>
      </c>
      <c r="AF12" s="190">
        <v>50</v>
      </c>
      <c r="AG12" s="190">
        <v>81</v>
      </c>
      <c r="AH12" s="190">
        <v>0</v>
      </c>
      <c r="AI12" s="30">
        <v>5346.1869999999999</v>
      </c>
      <c r="AJ12" s="62">
        <v>184.64500000000001</v>
      </c>
      <c r="AK12" s="55">
        <f t="shared" si="7"/>
        <v>5800.6310000000003</v>
      </c>
      <c r="AL12" s="56">
        <f t="shared" si="15"/>
        <v>278.8</v>
      </c>
      <c r="AM12" s="211">
        <v>100</v>
      </c>
      <c r="AN12" s="212">
        <v>0</v>
      </c>
      <c r="AO12" s="212">
        <v>0</v>
      </c>
      <c r="AP12" s="223">
        <v>0</v>
      </c>
      <c r="AQ12" s="221">
        <v>0</v>
      </c>
      <c r="AR12" s="222">
        <v>0.8</v>
      </c>
      <c r="AS12" s="223">
        <v>42</v>
      </c>
      <c r="AT12" s="223">
        <v>55</v>
      </c>
      <c r="AU12" s="223">
        <v>81</v>
      </c>
      <c r="AV12" s="223">
        <v>0</v>
      </c>
      <c r="AW12" s="56">
        <v>5330.9870000000001</v>
      </c>
      <c r="AX12" s="66">
        <v>190.84399999999999</v>
      </c>
      <c r="AY12" s="226">
        <f t="shared" si="9"/>
        <v>7370.7762626382519</v>
      </c>
      <c r="AZ12" s="71">
        <v>2324.808</v>
      </c>
      <c r="BA12" s="71">
        <v>702.09199999999998</v>
      </c>
      <c r="BB12" s="71">
        <v>65</v>
      </c>
      <c r="BC12" s="71"/>
      <c r="BD12" s="71">
        <v>12</v>
      </c>
      <c r="BE12" s="71">
        <v>70</v>
      </c>
      <c r="BF12" s="71">
        <v>15</v>
      </c>
      <c r="BG12" s="69"/>
      <c r="BH12" s="71">
        <v>120</v>
      </c>
      <c r="BI12" s="71">
        <v>162.76999999999998</v>
      </c>
      <c r="BJ12" s="71">
        <v>295</v>
      </c>
      <c r="BK12" s="71">
        <v>10</v>
      </c>
      <c r="BL12" s="71">
        <v>5</v>
      </c>
      <c r="BM12" s="71">
        <v>130.04599999999999</v>
      </c>
      <c r="BN12" s="71">
        <v>39.274000000000001</v>
      </c>
      <c r="BO12" s="70">
        <v>9.7390000000000008</v>
      </c>
      <c r="BP12" s="71">
        <v>36.581000000000003</v>
      </c>
      <c r="BQ12" s="70">
        <v>10.507</v>
      </c>
      <c r="BR12" s="71">
        <v>5</v>
      </c>
      <c r="BS12" s="70">
        <v>139.947</v>
      </c>
      <c r="BT12" s="70">
        <v>486</v>
      </c>
      <c r="BU12" s="71">
        <v>0</v>
      </c>
      <c r="BV12" s="70">
        <v>2732.0122626382517</v>
      </c>
      <c r="BW12" s="77"/>
      <c r="BX12" s="84">
        <v>121.3</v>
      </c>
      <c r="BY12" s="84">
        <v>36.631999999999998</v>
      </c>
      <c r="BZ12" s="85"/>
      <c r="CA12" s="84">
        <v>26.712999999999997</v>
      </c>
      <c r="CB12" s="85"/>
      <c r="CC12" s="85"/>
      <c r="CD12" s="93">
        <v>126.092</v>
      </c>
      <c r="CE12" s="93">
        <v>38.08</v>
      </c>
      <c r="CF12" s="94"/>
      <c r="CG12" s="93">
        <v>26.672000000000001</v>
      </c>
      <c r="CH12" s="94"/>
      <c r="CI12" s="94"/>
      <c r="CJ12"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2 732,012 тыс. рублей ежегодно.</v>
      </c>
      <c r="CK12" s="201" t="s">
        <v>390</v>
      </c>
      <c r="CL12" s="101" t="s">
        <v>335</v>
      </c>
      <c r="CM12" s="101" t="s">
        <v>340</v>
      </c>
      <c r="CN12" s="101" t="s">
        <v>339</v>
      </c>
      <c r="CO12" s="4">
        <f t="shared" si="2"/>
        <v>1071.6943893957377</v>
      </c>
      <c r="CP12" s="4">
        <f t="shared" si="10"/>
        <v>841.46805000000006</v>
      </c>
      <c r="CQ12" s="4">
        <f t="shared" si="11"/>
        <v>841.46805000000006</v>
      </c>
      <c r="CR12" s="114" t="s">
        <v>240</v>
      </c>
      <c r="CS12" s="12" t="s">
        <v>67</v>
      </c>
      <c r="CT12" s="4">
        <f t="shared" si="3"/>
        <v>100.25</v>
      </c>
      <c r="CU12" s="4">
        <v>138.57999999999998</v>
      </c>
      <c r="CV12" s="13">
        <v>146.63</v>
      </c>
      <c r="CW12" s="191">
        <v>0</v>
      </c>
      <c r="CX12" s="191">
        <v>0</v>
      </c>
      <c r="CY12" s="14">
        <f>VLOOKUP($CY$109,$B$3:$CV$14,11,FALSE)</f>
        <v>0</v>
      </c>
      <c r="CZ12" s="19" t="s">
        <v>352</v>
      </c>
      <c r="DA12" s="44" t="s">
        <v>80</v>
      </c>
      <c r="DB12" s="237"/>
      <c r="DC12" s="10">
        <f t="shared" si="4"/>
        <v>0</v>
      </c>
      <c r="DD12" s="99">
        <f t="shared" si="12"/>
        <v>-1534.8422626382508</v>
      </c>
      <c r="DE12" s="99">
        <f t="shared" si="13"/>
        <v>-1534.8422626382508</v>
      </c>
      <c r="DN12" s="228"/>
    </row>
    <row r="13" spans="1:118" ht="17.25" hidden="1" customHeight="1" thickBot="1" x14ac:dyDescent="0.3">
      <c r="A13" s="17"/>
      <c r="B13" s="5" t="s">
        <v>31</v>
      </c>
      <c r="C13" s="6" t="s">
        <v>33</v>
      </c>
      <c r="D13" s="9" t="s">
        <v>31</v>
      </c>
      <c r="E13" s="9" t="s">
        <v>30</v>
      </c>
      <c r="F13" s="6"/>
      <c r="G13" s="6"/>
      <c r="H13" s="21" t="s">
        <v>32</v>
      </c>
      <c r="I13" s="55">
        <f t="shared" si="0"/>
        <v>7338.8460740221199</v>
      </c>
      <c r="J13" s="56">
        <f t="shared" si="1"/>
        <v>433.7</v>
      </c>
      <c r="K13" s="191">
        <v>75</v>
      </c>
      <c r="L13" s="191">
        <v>0</v>
      </c>
      <c r="M13" s="191">
        <v>0.7</v>
      </c>
      <c r="N13" s="190">
        <v>0</v>
      </c>
      <c r="O13" s="218">
        <v>0</v>
      </c>
      <c r="P13" s="193">
        <v>1</v>
      </c>
      <c r="Q13" s="190">
        <v>48</v>
      </c>
      <c r="R13" s="190">
        <v>159</v>
      </c>
      <c r="S13" s="190">
        <v>150</v>
      </c>
      <c r="T13" s="190">
        <v>0</v>
      </c>
      <c r="U13" s="56">
        <v>6678.9990740221201</v>
      </c>
      <c r="V13" s="57">
        <v>226.14699999999999</v>
      </c>
      <c r="W13" s="47">
        <f t="shared" si="5"/>
        <v>6771.7549999999992</v>
      </c>
      <c r="X13" s="30">
        <f t="shared" si="14"/>
        <v>319.82</v>
      </c>
      <c r="Y13" s="216">
        <v>80</v>
      </c>
      <c r="Z13" s="191">
        <v>0</v>
      </c>
      <c r="AA13" s="191">
        <v>0.72</v>
      </c>
      <c r="AB13" s="190">
        <v>0</v>
      </c>
      <c r="AC13" s="218">
        <v>0</v>
      </c>
      <c r="AD13" s="193">
        <v>1.1000000000000001</v>
      </c>
      <c r="AE13" s="190">
        <v>115</v>
      </c>
      <c r="AF13" s="190">
        <v>52</v>
      </c>
      <c r="AG13" s="190">
        <v>71</v>
      </c>
      <c r="AH13" s="190">
        <v>0</v>
      </c>
      <c r="AI13" s="30">
        <v>6267.2899999999991</v>
      </c>
      <c r="AJ13" s="62">
        <v>184.64500000000001</v>
      </c>
      <c r="AK13" s="55">
        <f t="shared" si="7"/>
        <v>6777.9539999999997</v>
      </c>
      <c r="AL13" s="56">
        <f t="shared" si="15"/>
        <v>349.24</v>
      </c>
      <c r="AM13" s="211">
        <v>100</v>
      </c>
      <c r="AN13" s="212">
        <v>0</v>
      </c>
      <c r="AO13" s="212">
        <v>0.74</v>
      </c>
      <c r="AP13" s="223">
        <v>0</v>
      </c>
      <c r="AQ13" s="221">
        <v>0</v>
      </c>
      <c r="AR13" s="222">
        <v>1.5</v>
      </c>
      <c r="AS13" s="223">
        <v>115</v>
      </c>
      <c r="AT13" s="223">
        <v>57</v>
      </c>
      <c r="AU13" s="223">
        <v>75</v>
      </c>
      <c r="AV13" s="223">
        <v>0</v>
      </c>
      <c r="AW13" s="56">
        <v>6237.87</v>
      </c>
      <c r="AX13" s="66">
        <v>190.84399999999999</v>
      </c>
      <c r="AY13" s="226">
        <f t="shared" si="9"/>
        <v>7338.8460740221217</v>
      </c>
      <c r="AZ13" s="71">
        <v>2669.0479999999998</v>
      </c>
      <c r="BA13" s="71">
        <v>806.05200000000002</v>
      </c>
      <c r="BB13" s="71">
        <v>65</v>
      </c>
      <c r="BC13" s="71"/>
      <c r="BD13" s="71">
        <v>12</v>
      </c>
      <c r="BE13" s="71">
        <v>95</v>
      </c>
      <c r="BF13" s="71">
        <v>15</v>
      </c>
      <c r="BG13" s="69"/>
      <c r="BH13" s="71">
        <v>300</v>
      </c>
      <c r="BI13" s="71">
        <v>160</v>
      </c>
      <c r="BJ13" s="71">
        <v>102.77</v>
      </c>
      <c r="BK13" s="71">
        <v>10</v>
      </c>
      <c r="BL13" s="71">
        <v>5</v>
      </c>
      <c r="BM13" s="71">
        <v>130.04599999999999</v>
      </c>
      <c r="BN13" s="71">
        <v>39.274000000000001</v>
      </c>
      <c r="BO13" s="70">
        <v>9.7390000000000008</v>
      </c>
      <c r="BP13" s="71">
        <v>36.581000000000003</v>
      </c>
      <c r="BQ13" s="70">
        <v>10.507</v>
      </c>
      <c r="BR13" s="71">
        <v>5</v>
      </c>
      <c r="BS13" s="70">
        <v>196.24700000000001</v>
      </c>
      <c r="BT13" s="70">
        <v>486</v>
      </c>
      <c r="BU13" s="71">
        <v>0</v>
      </c>
      <c r="BV13" s="70">
        <v>2185.5820740221202</v>
      </c>
      <c r="BW13" s="77"/>
      <c r="BX13" s="84">
        <v>121.3</v>
      </c>
      <c r="BY13" s="84">
        <v>36.631999999999998</v>
      </c>
      <c r="BZ13" s="85"/>
      <c r="CA13" s="84">
        <v>26.712999999999997</v>
      </c>
      <c r="CB13" s="85"/>
      <c r="CC13" s="85"/>
      <c r="CD13" s="93">
        <v>126.092</v>
      </c>
      <c r="CE13" s="93">
        <v>38.08</v>
      </c>
      <c r="CF13" s="94"/>
      <c r="CG13" s="93">
        <v>26.672000000000001</v>
      </c>
      <c r="CH13" s="94"/>
      <c r="CI13" s="94"/>
      <c r="CJ13"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2 185,582 тыс. рублей ежегодно.</v>
      </c>
      <c r="CK13" s="201" t="s">
        <v>390</v>
      </c>
      <c r="CL13" s="101" t="s">
        <v>335</v>
      </c>
      <c r="CM13" s="101" t="s">
        <v>340</v>
      </c>
      <c r="CN13" s="101" t="s">
        <v>339</v>
      </c>
      <c r="CO13" s="4">
        <f t="shared" si="2"/>
        <v>1066.9048611033179</v>
      </c>
      <c r="CP13" s="4">
        <f t="shared" si="10"/>
        <v>988.06649999999979</v>
      </c>
      <c r="CQ13" s="4">
        <f t="shared" si="11"/>
        <v>988.06649999999991</v>
      </c>
      <c r="CR13" s="114" t="s">
        <v>241</v>
      </c>
      <c r="CS13" s="12" t="s">
        <v>68</v>
      </c>
      <c r="CT13" s="4">
        <f t="shared" si="3"/>
        <v>216.85</v>
      </c>
      <c r="CU13" s="4">
        <v>127.05</v>
      </c>
      <c r="CV13" s="13">
        <v>144.30000000000001</v>
      </c>
      <c r="CW13" s="191">
        <v>0</v>
      </c>
      <c r="CX13" s="191">
        <v>0</v>
      </c>
      <c r="CY13" s="14">
        <f>VLOOKUP($CY$109,$B$3:$CV$14,12,FALSE)</f>
        <v>22.2</v>
      </c>
      <c r="CZ13" s="19" t="s">
        <v>353</v>
      </c>
      <c r="DA13" s="44" t="s">
        <v>81</v>
      </c>
      <c r="DB13" s="237"/>
      <c r="DC13" s="10">
        <f t="shared" si="4"/>
        <v>0</v>
      </c>
      <c r="DD13" s="99">
        <f t="shared" si="12"/>
        <v>-525.58907402212117</v>
      </c>
      <c r="DE13" s="99">
        <f t="shared" si="13"/>
        <v>-525.58907402212208</v>
      </c>
      <c r="DN13" s="228"/>
    </row>
    <row r="14" spans="1:118" ht="17.25" hidden="1" customHeight="1" thickBot="1" x14ac:dyDescent="0.3">
      <c r="A14" s="17"/>
      <c r="B14" s="5" t="s">
        <v>35</v>
      </c>
      <c r="C14" s="6" t="s">
        <v>37</v>
      </c>
      <c r="D14" s="9" t="s">
        <v>35</v>
      </c>
      <c r="E14" s="9" t="s">
        <v>34</v>
      </c>
      <c r="F14" s="6"/>
      <c r="G14" s="6"/>
      <c r="H14" s="21" t="s">
        <v>36</v>
      </c>
      <c r="I14" s="55">
        <f t="shared" si="0"/>
        <v>8392.7590925276509</v>
      </c>
      <c r="J14" s="56">
        <f t="shared" si="1"/>
        <v>549.1</v>
      </c>
      <c r="K14" s="191">
        <v>100</v>
      </c>
      <c r="L14" s="191">
        <v>2</v>
      </c>
      <c r="M14" s="191">
        <v>2</v>
      </c>
      <c r="N14" s="190">
        <v>0.1</v>
      </c>
      <c r="O14" s="191">
        <v>0</v>
      </c>
      <c r="P14" s="193">
        <v>60</v>
      </c>
      <c r="Q14" s="190">
        <v>250</v>
      </c>
      <c r="R14" s="190">
        <v>5</v>
      </c>
      <c r="S14" s="190">
        <v>130</v>
      </c>
      <c r="T14" s="190">
        <v>0</v>
      </c>
      <c r="U14" s="56">
        <v>7617.5120925276506</v>
      </c>
      <c r="V14" s="57">
        <v>226.14699999999999</v>
      </c>
      <c r="W14" s="48">
        <f t="shared" si="5"/>
        <v>7759.0820000000003</v>
      </c>
      <c r="X14" s="31">
        <f t="shared" si="14"/>
        <v>517.77</v>
      </c>
      <c r="Y14" s="216">
        <v>100</v>
      </c>
      <c r="Z14" s="191">
        <v>0.15</v>
      </c>
      <c r="AA14" s="191">
        <v>0.42</v>
      </c>
      <c r="AB14" s="190">
        <v>0.2</v>
      </c>
      <c r="AC14" s="191">
        <v>0</v>
      </c>
      <c r="AD14" s="193">
        <v>0</v>
      </c>
      <c r="AE14" s="190">
        <v>280</v>
      </c>
      <c r="AF14" s="190">
        <v>6</v>
      </c>
      <c r="AG14" s="190">
        <v>131</v>
      </c>
      <c r="AH14" s="190">
        <v>0</v>
      </c>
      <c r="AI14" s="31">
        <v>7056.6669999999995</v>
      </c>
      <c r="AJ14" s="63">
        <v>184.64500000000001</v>
      </c>
      <c r="AK14" s="58">
        <f t="shared" si="7"/>
        <v>7765.2809999999999</v>
      </c>
      <c r="AL14" s="59">
        <f t="shared" si="15"/>
        <v>566.03</v>
      </c>
      <c r="AM14" s="211">
        <v>120</v>
      </c>
      <c r="AN14" s="212">
        <v>0.2</v>
      </c>
      <c r="AO14" s="212">
        <v>0.43</v>
      </c>
      <c r="AP14" s="223">
        <v>0.4</v>
      </c>
      <c r="AQ14" s="212">
        <v>0</v>
      </c>
      <c r="AR14" s="222">
        <v>0</v>
      </c>
      <c r="AS14" s="223">
        <v>300</v>
      </c>
      <c r="AT14" s="223">
        <v>9</v>
      </c>
      <c r="AU14" s="223">
        <v>136</v>
      </c>
      <c r="AV14" s="223">
        <v>0</v>
      </c>
      <c r="AW14" s="59">
        <v>7008.4070000000002</v>
      </c>
      <c r="AX14" s="67">
        <v>190.84399999999999</v>
      </c>
      <c r="AY14" s="227">
        <f t="shared" si="9"/>
        <v>8392.7590925276509</v>
      </c>
      <c r="AZ14" s="79">
        <v>2669.0479999999998</v>
      </c>
      <c r="BA14" s="79">
        <v>806.05200000000002</v>
      </c>
      <c r="BB14" s="79">
        <v>65</v>
      </c>
      <c r="BC14" s="79"/>
      <c r="BD14" s="79">
        <v>12</v>
      </c>
      <c r="BE14" s="79">
        <v>1</v>
      </c>
      <c r="BF14" s="79">
        <v>15</v>
      </c>
      <c r="BG14" s="80"/>
      <c r="BH14" s="79"/>
      <c r="BI14" s="79">
        <v>261.64999999999998</v>
      </c>
      <c r="BJ14" s="79">
        <v>394</v>
      </c>
      <c r="BK14" s="79">
        <v>10</v>
      </c>
      <c r="BL14" s="79">
        <v>5</v>
      </c>
      <c r="BM14" s="79">
        <v>130.04599999999999</v>
      </c>
      <c r="BN14" s="79">
        <v>39.274000000000001</v>
      </c>
      <c r="BO14" s="81">
        <v>9.7390000000000008</v>
      </c>
      <c r="BP14" s="79">
        <v>36.581000000000003</v>
      </c>
      <c r="BQ14" s="81">
        <v>10.507</v>
      </c>
      <c r="BR14" s="79">
        <v>5</v>
      </c>
      <c r="BS14" s="81">
        <v>158.447</v>
      </c>
      <c r="BT14" s="81">
        <v>0</v>
      </c>
      <c r="BU14" s="79">
        <v>486</v>
      </c>
      <c r="BV14" s="81">
        <v>3278.4150925276504</v>
      </c>
      <c r="BW14" s="82"/>
      <c r="BX14" s="86">
        <v>121.3</v>
      </c>
      <c r="BY14" s="86">
        <v>36.631999999999998</v>
      </c>
      <c r="BZ14" s="87"/>
      <c r="CA14" s="86">
        <v>26.712999999999997</v>
      </c>
      <c r="CB14" s="87"/>
      <c r="CC14" s="87"/>
      <c r="CD14" s="95">
        <v>126.092</v>
      </c>
      <c r="CE14" s="95">
        <v>38.08</v>
      </c>
      <c r="CF14" s="96"/>
      <c r="CG14" s="95">
        <v>26.672000000000001</v>
      </c>
      <c r="CH14" s="96"/>
      <c r="CI14" s="96"/>
      <c r="CJ14"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3 764,415 тыс. рублей ежегодно.</v>
      </c>
      <c r="CK14" s="201" t="s">
        <v>390</v>
      </c>
      <c r="CL14" s="101" t="s">
        <v>335</v>
      </c>
      <c r="CM14" s="101" t="s">
        <v>337</v>
      </c>
      <c r="CN14" s="101" t="s">
        <v>339</v>
      </c>
      <c r="CO14" s="4">
        <f t="shared" si="2"/>
        <v>1224.9918138791477</v>
      </c>
      <c r="CP14" s="4">
        <f t="shared" si="10"/>
        <v>1136.1655499999999</v>
      </c>
      <c r="CQ14" s="4">
        <f t="shared" si="11"/>
        <v>1136.1655499999999</v>
      </c>
      <c r="CR14" s="114" t="s">
        <v>242</v>
      </c>
      <c r="CS14" s="12" t="s">
        <v>68</v>
      </c>
      <c r="CT14" s="4">
        <f t="shared" si="3"/>
        <v>274.55</v>
      </c>
      <c r="CU14" s="4">
        <v>297.5</v>
      </c>
      <c r="CV14" s="13">
        <v>0</v>
      </c>
      <c r="CW14" s="191">
        <v>0</v>
      </c>
      <c r="CX14" s="191">
        <v>0</v>
      </c>
      <c r="CY14" s="14">
        <f>VLOOKUP($CY$109,$B$3:$CV$14,13,FALSE)</f>
        <v>600</v>
      </c>
      <c r="CZ14" s="19" t="s">
        <v>92</v>
      </c>
      <c r="DA14" s="45" t="s">
        <v>82</v>
      </c>
      <c r="DB14" s="237"/>
      <c r="DC14" s="10">
        <f t="shared" si="4"/>
        <v>0</v>
      </c>
      <c r="DD14" s="99">
        <f t="shared" si="12"/>
        <v>-592.17509252765285</v>
      </c>
      <c r="DE14" s="99">
        <f t="shared" si="13"/>
        <v>-592.17509252765012</v>
      </c>
      <c r="DN14" s="228"/>
    </row>
    <row r="15" spans="1:118" ht="17.25" hidden="1" customHeight="1" thickBot="1" x14ac:dyDescent="0.3">
      <c r="A15" s="17"/>
      <c r="C15" t="str">
        <f>VLOOKUP($CY$109,$B$3:$CV$14,2,FALSE)</f>
        <v>??</v>
      </c>
      <c r="D15" t="str">
        <f>VLOOKUP($CY$109,$B$3:$CV$14,3,FALSE)</f>
        <v>Братское</v>
      </c>
      <c r="E15" t="str">
        <f>VLOOKUP($CY$109,$B$3:$CV$14,4,FALSE)</f>
        <v>БРАТСКОГО</v>
      </c>
      <c r="F15" t="str">
        <f>VLOOKUP($CY$109,$B$3:$CV$14,5,FALSE)</f>
        <v>??</v>
      </c>
      <c r="G15" t="str">
        <f>VLOOKUP($CY$109,$B$3:$CV$14,6,FALSE)</f>
        <v>??</v>
      </c>
      <c r="H15" t="str">
        <f>VLOOKUP($CY$109,$B$3:$CV$14,7,FALSE)</f>
        <v>Братского</v>
      </c>
      <c r="I15" s="58">
        <f>VLOOKUP($CY$109,$B$3:$CV$14,8,FALSE)</f>
        <v>9589.2657540221207</v>
      </c>
      <c r="J15" s="59">
        <f>VLOOKUP($CY$109,$B$3:$CV$14,9,FALSE)</f>
        <v>2472.8000000000002</v>
      </c>
      <c r="K15" s="59">
        <f t="shared" ref="K15:T15" si="17">VLOOKUP($CY$109,$B$3:$CV$14,10,FALSE)</f>
        <v>300</v>
      </c>
      <c r="L15" s="59">
        <f t="shared" si="17"/>
        <v>300</v>
      </c>
      <c r="M15" s="59">
        <f t="shared" si="17"/>
        <v>300</v>
      </c>
      <c r="N15" s="59">
        <f t="shared" si="17"/>
        <v>300</v>
      </c>
      <c r="O15" s="59">
        <f t="shared" si="17"/>
        <v>300</v>
      </c>
      <c r="P15" s="59">
        <f t="shared" si="17"/>
        <v>300</v>
      </c>
      <c r="Q15" s="59">
        <f t="shared" si="17"/>
        <v>300</v>
      </c>
      <c r="R15" s="59">
        <f t="shared" si="17"/>
        <v>300</v>
      </c>
      <c r="S15" s="59">
        <f t="shared" si="17"/>
        <v>300</v>
      </c>
      <c r="T15" s="59">
        <f t="shared" si="17"/>
        <v>300</v>
      </c>
      <c r="U15" s="59">
        <f>VLOOKUP($CY$109,$B$3:$CV$14,20,FALSE)</f>
        <v>6579.5297540221209</v>
      </c>
      <c r="V15" s="60"/>
      <c r="W15" s="49">
        <f>VLOOKUP($CY$109,$B$3:$CV$14,8,FALSE)</f>
        <v>9589.2657540221207</v>
      </c>
      <c r="X15" s="26">
        <f>VLOOKUP($CY$109,$B$3:$CV$14,9,FALSE)</f>
        <v>2472.8000000000002</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f>VLOOKUP($CY$109,$B$3:$CV$14,21,FALSE)</f>
        <v>536.93600000000004</v>
      </c>
      <c r="BY15">
        <f>VLOOKUP($CY$109,$B$3:$CV$14,22,FALSE)</f>
        <v>9019.0398899999982</v>
      </c>
      <c r="BZ15">
        <f>VLOOKUP($CY$109,$B$3:$CV$14,23,FALSE)</f>
        <v>2476.65</v>
      </c>
      <c r="CA15">
        <f>VLOOKUP($CY$109,$B$3:$CV$14,24,FALSE)</f>
        <v>280</v>
      </c>
      <c r="CB15">
        <f>VLOOKUP($CY$109,$B$3:$CV$14,25,FALSE)</f>
        <v>0.15</v>
      </c>
      <c r="CC15">
        <f>VLOOKUP($CY$109,$B$3:$CV$14,26,FALSE)</f>
        <v>1.8</v>
      </c>
      <c r="CO15">
        <f>VLOOKUP($CY$109,$B$3:$CV$14,33,FALSE)</f>
        <v>0</v>
      </c>
      <c r="CP15">
        <f>VLOOKUP($CY$109,$B$3:$CV$14,34,FALSE)</f>
        <v>6095.3278899999987</v>
      </c>
      <c r="CQ15">
        <f>VLOOKUP($CY$109,$B$3:$CV$14,35,FALSE)</f>
        <v>447.06200000000001</v>
      </c>
      <c r="CR15">
        <f>VLOOKUP($CY$109,$B$3:$CV$14,36,FALSE)</f>
        <v>9034.5468899999978</v>
      </c>
      <c r="CS15">
        <f>VLOOKUP($CY$109,$B$3:$CV$14,37,FALSE)</f>
        <v>2718.1000000000004</v>
      </c>
      <c r="CT15">
        <f>VLOOKUP($CY$109,$B$3:$CV$14,38,FALSE)</f>
        <v>300</v>
      </c>
      <c r="CU15">
        <f>VLOOKUP($CY$109,$B$3:$CV$14,39,FALSE)</f>
        <v>0.2</v>
      </c>
      <c r="CV15">
        <f>VLOOKUP($CY$109,$B$3:$CV$14,40,FALSE)</f>
        <v>2</v>
      </c>
      <c r="CW15">
        <f>VLOOKUP($CY$109,$B$3:$CX$14,100,FALSE)</f>
        <v>0</v>
      </c>
      <c r="CX15">
        <f>VLOOKUP($CY$109,$B$3:$CX$14,101,FALSE)</f>
        <v>0</v>
      </c>
      <c r="CY15" s="14">
        <f>VLOOKUP($CY$109,$B$3:$CV$14,14,FALSE)</f>
        <v>0.6</v>
      </c>
      <c r="CZ15" s="19" t="s">
        <v>93</v>
      </c>
      <c r="DA15" s="44" t="s">
        <v>83</v>
      </c>
      <c r="DB15" s="237"/>
      <c r="DC15" s="10">
        <f t="shared" si="4"/>
        <v>9589.2657540221207</v>
      </c>
      <c r="DE15" s="99">
        <f t="shared" ref="DE15" si="18">W15-(AY15-BM15-BN15-BO15-BP15-BQ15+BX15+BY15+BZ15+CA15+CB15)</f>
        <v>-2723.5101359778764</v>
      </c>
    </row>
    <row r="16" spans="1:118" ht="17.25" hidden="1" customHeight="1" x14ac:dyDescent="0.25">
      <c r="A16" s="17"/>
      <c r="K16" s="22" t="s">
        <v>89</v>
      </c>
      <c r="L16" s="22" t="s">
        <v>90</v>
      </c>
      <c r="M16" s="22" t="s">
        <v>91</v>
      </c>
      <c r="N16" s="22" t="s">
        <v>92</v>
      </c>
      <c r="O16" s="22" t="s">
        <v>93</v>
      </c>
      <c r="P16" s="22" t="s">
        <v>94</v>
      </c>
      <c r="Q16" s="22" t="s">
        <v>95</v>
      </c>
      <c r="R16" s="22" t="s">
        <v>96</v>
      </c>
      <c r="S16" s="22" t="s">
        <v>97</v>
      </c>
      <c r="T16" s="22" t="s">
        <v>98</v>
      </c>
      <c r="AY16" t="s">
        <v>155</v>
      </c>
      <c r="AZ16" s="64" t="s">
        <v>136</v>
      </c>
      <c r="BA16" s="64" t="s">
        <v>136</v>
      </c>
      <c r="BB16" t="s">
        <v>137</v>
      </c>
      <c r="BC16" t="s">
        <v>138</v>
      </c>
      <c r="BD16" t="s">
        <v>139</v>
      </c>
      <c r="BE16" t="s">
        <v>139</v>
      </c>
      <c r="BF16" t="s">
        <v>140</v>
      </c>
      <c r="BG16" t="s">
        <v>141</v>
      </c>
      <c r="BH16" t="s">
        <v>142</v>
      </c>
      <c r="BI16" t="s">
        <v>143</v>
      </c>
      <c r="BJ16" t="s">
        <v>143</v>
      </c>
      <c r="BK16" t="s">
        <v>143</v>
      </c>
      <c r="BL16" t="s">
        <v>144</v>
      </c>
      <c r="BM16" t="s">
        <v>145</v>
      </c>
      <c r="BN16" t="s">
        <v>145</v>
      </c>
      <c r="BO16" t="s">
        <v>146</v>
      </c>
      <c r="BP16" t="s">
        <v>147</v>
      </c>
      <c r="BQ16" t="s">
        <v>148</v>
      </c>
      <c r="BR16" t="s">
        <v>149</v>
      </c>
      <c r="BS16" t="s">
        <v>150</v>
      </c>
      <c r="BT16" t="s">
        <v>151</v>
      </c>
      <c r="BU16" t="s">
        <v>152</v>
      </c>
      <c r="BV16" t="s">
        <v>153</v>
      </c>
      <c r="BW16" t="s">
        <v>154</v>
      </c>
      <c r="CY16" s="14">
        <f>VLOOKUP($CY$109,$B$3:$CV$14,15,FALSE)</f>
        <v>100</v>
      </c>
      <c r="CZ16" s="19" t="s">
        <v>94</v>
      </c>
      <c r="DA16" s="45" t="s">
        <v>84</v>
      </c>
      <c r="DB16" s="237"/>
    </row>
    <row r="17" spans="1:106" ht="17.25" hidden="1" customHeight="1" x14ac:dyDescent="0.25">
      <c r="A17" s="17"/>
      <c r="CY17" s="14">
        <f>VLOOKUP($CY$109,$B$3:$CV$14,16,FALSE)</f>
        <v>800</v>
      </c>
      <c r="CZ17" s="19" t="s">
        <v>95</v>
      </c>
      <c r="DA17" s="45" t="s">
        <v>85</v>
      </c>
      <c r="DB17" s="237"/>
    </row>
    <row r="18" spans="1:106" ht="17.25" hidden="1" customHeight="1" x14ac:dyDescent="0.25">
      <c r="A18" s="17"/>
      <c r="AA18">
        <v>1000</v>
      </c>
      <c r="CY18" s="14">
        <f>VLOOKUP($CY$109,$B$3:$CV$14,17,FALSE)</f>
        <v>50</v>
      </c>
      <c r="CZ18" s="19" t="s">
        <v>96</v>
      </c>
      <c r="DA18" s="45" t="s">
        <v>86</v>
      </c>
      <c r="DB18" s="237"/>
    </row>
    <row r="19" spans="1:106" ht="20.25" hidden="1" customHeight="1" x14ac:dyDescent="0.25">
      <c r="A19" s="17"/>
      <c r="CY19" s="14">
        <f>VLOOKUP($CY$109,$B$3:$CV$14,18,FALSE)</f>
        <v>600</v>
      </c>
      <c r="CZ19" s="19" t="s">
        <v>97</v>
      </c>
      <c r="DA19" s="45" t="s">
        <v>87</v>
      </c>
      <c r="DB19" s="237"/>
    </row>
    <row r="20" spans="1:106" ht="21.75" hidden="1" customHeight="1" x14ac:dyDescent="0.25">
      <c r="A20" s="17"/>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CY20" s="14">
        <f>VLOOKUP($CY$109,$B$3:$CV$14,19,FALSE)</f>
        <v>0</v>
      </c>
      <c r="CZ20" s="19" t="s">
        <v>98</v>
      </c>
      <c r="DA20" s="45" t="s">
        <v>88</v>
      </c>
      <c r="DB20" s="237"/>
    </row>
    <row r="21" spans="1:106" ht="18.75" hidden="1" x14ac:dyDescent="0.25">
      <c r="A21" s="17"/>
      <c r="AN21">
        <v>1000</v>
      </c>
      <c r="BC21" s="99"/>
      <c r="BD21" s="99">
        <f>AZ7+BA7+BB7+BD7+BE7+BF7+BG7+BI7+BJ7+BK7+BL7+BR7+BS7+BU7+BV7+BW7</f>
        <v>16687.613627713952</v>
      </c>
      <c r="CY21" s="14">
        <f>VLOOKUP($CY$109,$B$3:$CV$14,20,FALSE)</f>
        <v>6579.5297540221209</v>
      </c>
      <c r="CZ21" s="25" t="s">
        <v>103</v>
      </c>
      <c r="DA21" s="43"/>
      <c r="DB21" s="237"/>
    </row>
    <row r="22" spans="1:106" ht="19.5" hidden="1" thickBot="1" x14ac:dyDescent="0.3">
      <c r="A22" s="17"/>
      <c r="BD22" s="99">
        <f t="shared" ref="BD22" si="19">AZ8+BA8+BB8+BD8+BE8+BF8+BG8+BI8+BJ8+BK8+BL8+BR8+BS8+BU8+BV8+BW8</f>
        <v>14030.360785055302</v>
      </c>
      <c r="CY22" s="14">
        <f>VLOOKUP($CY$109,$B$3:$CV$14,21,FALSE)</f>
        <v>536.93600000000004</v>
      </c>
      <c r="CZ22" s="25" t="s">
        <v>104</v>
      </c>
      <c r="DA22" s="43"/>
      <c r="DB22" s="238"/>
    </row>
    <row r="23" spans="1:106" hidden="1" x14ac:dyDescent="0.25">
      <c r="A23" s="17"/>
      <c r="BD23" s="99">
        <f>AZ9+BA9+BB9+BD9+BE9+BF9+BG9+BI9+BJ9+BK9+BL9+BR9+BS9+BU9+BV9+BW9+BT9</f>
        <v>8691.6992363744266</v>
      </c>
      <c r="CY23" s="14">
        <f>VLOOKUP($CY$109,$B$3:$CV$14,22,FALSE)</f>
        <v>9019.0398899999982</v>
      </c>
      <c r="CZ23" s="24" t="s">
        <v>8</v>
      </c>
      <c r="DA23" s="43"/>
      <c r="DB23" s="236">
        <v>2024</v>
      </c>
    </row>
    <row r="24" spans="1:106" hidden="1" x14ac:dyDescent="0.25">
      <c r="A24" s="17"/>
      <c r="BC24" s="99"/>
      <c r="BD24" s="99">
        <f t="shared" ref="BD24:BD25" si="20">AZ10+BA10+BB10+BD10+BE10+BF10+BG10+BI10+BJ10+BK10+BL10+BR10+BS10+BU10+BV10+BW10+BT10</f>
        <v>10325.677968680873</v>
      </c>
      <c r="CY24" s="14">
        <f>VLOOKUP($CY$109,$B$3:$CV$14,23,FALSE)</f>
        <v>2476.65</v>
      </c>
      <c r="CZ24" s="24" t="s">
        <v>99</v>
      </c>
      <c r="DA24" s="43"/>
      <c r="DB24" s="237"/>
    </row>
    <row r="25" spans="1:106" ht="15" hidden="1" customHeight="1" x14ac:dyDescent="0.3">
      <c r="A25" s="17"/>
      <c r="BD25" s="99">
        <f t="shared" si="20"/>
        <v>7347.0617961532243</v>
      </c>
      <c r="CY25" s="14">
        <f>VLOOKUP($CY$109,$B$3:$CV$14,24,FALSE)</f>
        <v>280</v>
      </c>
      <c r="CZ25" s="35" t="s">
        <v>89</v>
      </c>
      <c r="DA25" s="44" t="s">
        <v>79</v>
      </c>
      <c r="DB25" s="237"/>
    </row>
    <row r="26" spans="1:106" ht="15" hidden="1" customHeight="1" x14ac:dyDescent="0.3">
      <c r="A26" s="17"/>
      <c r="BD26" s="99">
        <v>51.500130000000354</v>
      </c>
      <c r="CY26" s="14">
        <f>VLOOKUP($CY$109,$B$3:$CV$14,25,FALSE)</f>
        <v>0.15</v>
      </c>
      <c r="CZ26" s="35" t="s">
        <v>90</v>
      </c>
      <c r="DA26" s="44" t="s">
        <v>80</v>
      </c>
      <c r="DB26" s="237"/>
    </row>
    <row r="27" spans="1:106" ht="15" hidden="1" customHeight="1" x14ac:dyDescent="0.3">
      <c r="A27" s="17"/>
      <c r="CY27" s="14">
        <f>VLOOKUP($CY$109,$B$3:$CV$14,26,FALSE)</f>
        <v>1.8</v>
      </c>
      <c r="CZ27" s="35" t="s">
        <v>91</v>
      </c>
      <c r="DA27" s="44" t="s">
        <v>81</v>
      </c>
      <c r="DB27" s="237"/>
    </row>
    <row r="28" spans="1:106" ht="15" hidden="1" customHeight="1" x14ac:dyDescent="0.3">
      <c r="A28" s="17"/>
      <c r="BJ28" s="99"/>
      <c r="CY28" s="14">
        <f>VLOOKUP($CY$109,$B$3:$CV$14,27,FALSE)</f>
        <v>650</v>
      </c>
      <c r="CZ28" s="35" t="s">
        <v>92</v>
      </c>
      <c r="DA28" s="45" t="s">
        <v>82</v>
      </c>
      <c r="DB28" s="237"/>
    </row>
    <row r="29" spans="1:106" ht="15" hidden="1" customHeight="1" x14ac:dyDescent="0.3">
      <c r="A29" s="17"/>
      <c r="M29">
        <v>1000</v>
      </c>
      <c r="CY29" s="14">
        <f>VLOOKUP($CY$109,$B$3:$CV$14,28,FALSE)</f>
        <v>0.7</v>
      </c>
      <c r="CZ29" s="35" t="s">
        <v>93</v>
      </c>
      <c r="DA29" s="44" t="s">
        <v>83</v>
      </c>
      <c r="DB29" s="237"/>
    </row>
    <row r="30" spans="1:106" ht="15" hidden="1" customHeight="1" x14ac:dyDescent="0.3">
      <c r="A30" s="17"/>
      <c r="CY30" s="14">
        <f>VLOOKUP($CY$109,$B$3:$CV$14,29,FALSE)</f>
        <v>110</v>
      </c>
      <c r="CZ30" s="35" t="s">
        <v>94</v>
      </c>
      <c r="DA30" s="45" t="s">
        <v>84</v>
      </c>
      <c r="DB30" s="237"/>
    </row>
    <row r="31" spans="1:106" ht="15" hidden="1" customHeight="1" x14ac:dyDescent="0.3">
      <c r="A31" s="17"/>
      <c r="CY31" s="14">
        <f>VLOOKUP($CY$109,$B$3:$CV$14,30,FALSE)</f>
        <v>850</v>
      </c>
      <c r="CZ31" s="35" t="s">
        <v>95</v>
      </c>
      <c r="DA31" s="45" t="s">
        <v>85</v>
      </c>
      <c r="DB31" s="237"/>
    </row>
    <row r="32" spans="1:106" ht="15" hidden="1" customHeight="1" x14ac:dyDescent="0.3">
      <c r="A32" s="17"/>
      <c r="CY32" s="14">
        <f>VLOOKUP($CY$109,$B$3:$CV$14,31,FALSE)</f>
        <v>34</v>
      </c>
      <c r="CZ32" s="35" t="s">
        <v>96</v>
      </c>
      <c r="DA32" s="45" t="s">
        <v>86</v>
      </c>
      <c r="DB32" s="237"/>
    </row>
    <row r="33" spans="1:106" ht="15" hidden="1" customHeight="1" x14ac:dyDescent="0.3">
      <c r="A33" s="17"/>
      <c r="CY33" s="14">
        <f>VLOOKUP($CY$109,$B$3:$CV$14,32,FALSE)</f>
        <v>550</v>
      </c>
      <c r="CZ33" s="35" t="s">
        <v>97</v>
      </c>
      <c r="DA33" s="45" t="s">
        <v>87</v>
      </c>
      <c r="DB33" s="237"/>
    </row>
    <row r="34" spans="1:106" ht="15" hidden="1" customHeight="1" x14ac:dyDescent="0.3">
      <c r="A34" s="17"/>
      <c r="CY34" s="14">
        <f>VLOOKUP($CY$109,$B$3:$CV$14,33,FALSE)</f>
        <v>0</v>
      </c>
      <c r="CZ34" s="35" t="s">
        <v>98</v>
      </c>
      <c r="DA34" s="45" t="s">
        <v>88</v>
      </c>
      <c r="DB34" s="237"/>
    </row>
    <row r="35" spans="1:106" ht="18.75" hidden="1" x14ac:dyDescent="0.3">
      <c r="A35" s="17"/>
      <c r="CY35" s="14">
        <f>VLOOKUP($CY$109,$B$3:$CV$14,34,FALSE)</f>
        <v>6095.3278899999987</v>
      </c>
      <c r="CZ35" s="36" t="s">
        <v>194</v>
      </c>
      <c r="DA35" s="43"/>
      <c r="DB35" s="237"/>
    </row>
    <row r="36" spans="1:106" ht="19.5" hidden="1" thickBot="1" x14ac:dyDescent="0.3">
      <c r="A36" s="17"/>
      <c r="CY36" s="14">
        <f>VLOOKUP($CY$109,$B$3:$CV$14,35,FALSE)</f>
        <v>447.06200000000001</v>
      </c>
      <c r="CZ36" s="25" t="s">
        <v>196</v>
      </c>
      <c r="DA36" s="43"/>
      <c r="DB36" s="238"/>
    </row>
    <row r="37" spans="1:106" ht="15.75" hidden="1" x14ac:dyDescent="0.25">
      <c r="A37" s="17"/>
      <c r="CY37" s="14">
        <f>VLOOKUP($CY$109,$B$3:$CV$14,36,FALSE)</f>
        <v>9034.5468899999978</v>
      </c>
      <c r="CZ37" s="37" t="s">
        <v>8</v>
      </c>
      <c r="DA37" s="40"/>
      <c r="DB37" s="236">
        <v>2025</v>
      </c>
    </row>
    <row r="38" spans="1:106" ht="15.75" hidden="1" customHeight="1" x14ac:dyDescent="0.25">
      <c r="A38" s="17"/>
      <c r="CY38" s="14">
        <f>VLOOKUP($CY$109,$B$3:$CV$14,37,FALSE)</f>
        <v>2718.1000000000004</v>
      </c>
      <c r="CZ38" s="37" t="s">
        <v>99</v>
      </c>
      <c r="DA38" s="40"/>
      <c r="DB38" s="237"/>
    </row>
    <row r="39" spans="1:106" ht="15.75" hidden="1" customHeight="1" x14ac:dyDescent="0.25">
      <c r="A39" s="17"/>
      <c r="CY39" s="14">
        <f>VLOOKUP($CY$109,$B$3:$CV$14,38,FALSE)</f>
        <v>300</v>
      </c>
      <c r="CZ39" s="38" t="s">
        <v>89</v>
      </c>
      <c r="DA39" s="41" t="s">
        <v>79</v>
      </c>
      <c r="DB39" s="237"/>
    </row>
    <row r="40" spans="1:106" ht="15.75" hidden="1" customHeight="1" x14ac:dyDescent="0.25">
      <c r="A40" s="17"/>
      <c r="CY40" s="14">
        <f>VLOOKUP($CY$109,$B$3:$CV$14,39,FALSE)</f>
        <v>0.2</v>
      </c>
      <c r="CZ40" s="38" t="s">
        <v>90</v>
      </c>
      <c r="DA40" s="41" t="s">
        <v>80</v>
      </c>
      <c r="DB40" s="237"/>
    </row>
    <row r="41" spans="1:106" ht="15.75" hidden="1" customHeight="1" x14ac:dyDescent="0.25">
      <c r="A41" s="17"/>
      <c r="CY41" s="14">
        <f>VLOOKUP($CY$109,$B$3:$CV$14,40,FALSE)</f>
        <v>2</v>
      </c>
      <c r="CZ41" s="38" t="s">
        <v>91</v>
      </c>
      <c r="DA41" s="41" t="s">
        <v>81</v>
      </c>
      <c r="DB41" s="237"/>
    </row>
    <row r="42" spans="1:106" ht="15.75" hidden="1" customHeight="1" x14ac:dyDescent="0.25">
      <c r="A42" s="17"/>
      <c r="CY42" s="14">
        <f>VLOOKUP($CY$109,$B$3:$CV$14,41,FALSE)</f>
        <v>750</v>
      </c>
      <c r="CZ42" s="38" t="s">
        <v>92</v>
      </c>
      <c r="DA42" s="42" t="s">
        <v>82</v>
      </c>
      <c r="DB42" s="237"/>
    </row>
    <row r="43" spans="1:106" ht="15.75" hidden="1" customHeight="1" x14ac:dyDescent="0.25">
      <c r="A43" s="17"/>
      <c r="CY43" s="14">
        <f>VLOOKUP($CY$109,$B$3:$CV$14,42,FALSE)</f>
        <v>0.9</v>
      </c>
      <c r="CZ43" s="38" t="s">
        <v>93</v>
      </c>
      <c r="DA43" s="41" t="s">
        <v>83</v>
      </c>
      <c r="DB43" s="237"/>
    </row>
    <row r="44" spans="1:106" ht="15.75" hidden="1" customHeight="1" x14ac:dyDescent="0.25">
      <c r="A44" s="17"/>
      <c r="CY44" s="14">
        <f>VLOOKUP($CY$109,$B$3:$CV$14,43,FALSE)</f>
        <v>115</v>
      </c>
      <c r="CZ44" s="38" t="s">
        <v>94</v>
      </c>
      <c r="DA44" s="42" t="s">
        <v>84</v>
      </c>
      <c r="DB44" s="237"/>
    </row>
    <row r="45" spans="1:106" ht="15.75" hidden="1" customHeight="1" x14ac:dyDescent="0.25">
      <c r="A45" s="17"/>
      <c r="CY45" s="14">
        <f>VLOOKUP($CY$109,$B$3:$CV$14,44,FALSE)</f>
        <v>900</v>
      </c>
      <c r="CZ45" s="38" t="s">
        <v>95</v>
      </c>
      <c r="DA45" s="42" t="s">
        <v>85</v>
      </c>
      <c r="DB45" s="237"/>
    </row>
    <row r="46" spans="1:106" ht="15.75" hidden="1" customHeight="1" x14ac:dyDescent="0.25">
      <c r="A46" s="17"/>
      <c r="CY46" s="14">
        <f>VLOOKUP($CY$109,$B$3:$CV$14,45,FALSE)</f>
        <v>50</v>
      </c>
      <c r="CZ46" s="38" t="s">
        <v>96</v>
      </c>
      <c r="DA46" s="42" t="s">
        <v>86</v>
      </c>
      <c r="DB46" s="237"/>
    </row>
    <row r="47" spans="1:106" ht="15.75" hidden="1" customHeight="1" x14ac:dyDescent="0.25">
      <c r="A47" s="17"/>
      <c r="CY47" s="14">
        <f>VLOOKUP($CY$109,$B$3:$CV$14,46,FALSE)</f>
        <v>600</v>
      </c>
      <c r="CZ47" s="38" t="s">
        <v>97</v>
      </c>
      <c r="DA47" s="42" t="s">
        <v>87</v>
      </c>
      <c r="DB47" s="237"/>
    </row>
    <row r="48" spans="1:106" ht="15.75" hidden="1" customHeight="1" x14ac:dyDescent="0.25">
      <c r="A48" s="17"/>
      <c r="CY48" s="14">
        <f>VLOOKUP($CY$109,$B$3:$CV$14,47,FALSE)</f>
        <v>0</v>
      </c>
      <c r="CZ48" s="38" t="s">
        <v>98</v>
      </c>
      <c r="DA48" s="42" t="s">
        <v>88</v>
      </c>
      <c r="DB48" s="237"/>
    </row>
    <row r="49" spans="1:106" ht="15.75" hidden="1" customHeight="1" x14ac:dyDescent="0.25">
      <c r="A49" s="17"/>
      <c r="CY49" s="14">
        <f>VLOOKUP($CY$109,$B$3:$CV$14,48,FALSE)</f>
        <v>5853.877889999997</v>
      </c>
      <c r="CZ49" s="39" t="s">
        <v>197</v>
      </c>
      <c r="DA49" s="40"/>
      <c r="DB49" s="237"/>
    </row>
    <row r="50" spans="1:106" ht="18.75" hidden="1" customHeight="1" x14ac:dyDescent="0.25">
      <c r="A50" s="17"/>
      <c r="CY50" s="14">
        <f>VLOOKUP($CY$109,$B$3:$CV$14,49,FALSE)</f>
        <v>462.56900000000002</v>
      </c>
      <c r="CZ50" s="88" t="s">
        <v>195</v>
      </c>
      <c r="DA50" s="89"/>
      <c r="DB50" s="237"/>
    </row>
    <row r="51" spans="1:106" ht="18.75" hidden="1" customHeight="1" x14ac:dyDescent="0.25">
      <c r="A51" s="17"/>
      <c r="CY51" s="116">
        <f>VLOOKUP($CY$109,$B$3:$CV$14,50,FALSE)</f>
        <v>9589.2657540221189</v>
      </c>
      <c r="CZ51" s="24" t="s">
        <v>155</v>
      </c>
      <c r="DA51" s="90" t="s">
        <v>155</v>
      </c>
      <c r="DB51" s="235">
        <v>2023</v>
      </c>
    </row>
    <row r="52" spans="1:106" ht="18.75" hidden="1" customHeight="1" x14ac:dyDescent="0.25">
      <c r="A52" s="17"/>
      <c r="CY52" s="14">
        <f>VLOOKUP($CY$109,$B$3:$CV$14,51,FALSE)</f>
        <v>3575.96</v>
      </c>
      <c r="CZ52" s="91" t="s">
        <v>136</v>
      </c>
      <c r="DA52" s="68" t="s">
        <v>112</v>
      </c>
      <c r="DB52" s="235"/>
    </row>
    <row r="53" spans="1:106" ht="18.75" hidden="1" customHeight="1" x14ac:dyDescent="0.25">
      <c r="A53" s="17"/>
      <c r="CY53" s="14">
        <f>VLOOKUP($CY$109,$B$3:$CV$14,52,FALSE)</f>
        <v>1079.94</v>
      </c>
      <c r="CZ53" s="91" t="s">
        <v>136</v>
      </c>
      <c r="DA53" s="68" t="s">
        <v>113</v>
      </c>
      <c r="DB53" s="235"/>
    </row>
    <row r="54" spans="1:106" ht="18.75" hidden="1" customHeight="1" x14ac:dyDescent="0.25">
      <c r="A54" s="17"/>
      <c r="CY54" s="14">
        <f>VLOOKUP($CY$109,$B$3:$CV$14,53,FALSE)</f>
        <v>65</v>
      </c>
      <c r="CZ54" s="24" t="s">
        <v>137</v>
      </c>
      <c r="DA54" s="68" t="s">
        <v>114</v>
      </c>
      <c r="DB54" s="235"/>
    </row>
    <row r="55" spans="1:106" ht="18.75" hidden="1" customHeight="1" x14ac:dyDescent="0.25">
      <c r="A55" s="17"/>
      <c r="CY55" s="14">
        <f>VLOOKUP($CY$109,$B$3:$CV$14,54,FALSE)</f>
        <v>0</v>
      </c>
      <c r="CZ55" s="24" t="s">
        <v>138</v>
      </c>
      <c r="DA55" s="68" t="s">
        <v>115</v>
      </c>
      <c r="DB55" s="235"/>
    </row>
    <row r="56" spans="1:106" ht="18.75" hidden="1" customHeight="1" x14ac:dyDescent="0.25">
      <c r="A56" s="17"/>
      <c r="CY56" s="14">
        <f>VLOOKUP($CY$109,$B$3:$CV$14,55,FALSE)</f>
        <v>12</v>
      </c>
      <c r="CZ56" s="24" t="s">
        <v>139</v>
      </c>
      <c r="DA56" s="68" t="s">
        <v>116</v>
      </c>
      <c r="DB56" s="235"/>
    </row>
    <row r="57" spans="1:106" ht="18.75" hidden="1" customHeight="1" x14ac:dyDescent="0.25">
      <c r="A57" s="17"/>
      <c r="CY57" s="14">
        <f>VLOOKUP($CY$109,$B$3:$CV$14,56,FALSE)</f>
        <v>90</v>
      </c>
      <c r="CZ57" s="24" t="s">
        <v>139</v>
      </c>
      <c r="DA57" s="68" t="s">
        <v>117</v>
      </c>
      <c r="DB57" s="235"/>
    </row>
    <row r="58" spans="1:106" ht="18.75" hidden="1" customHeight="1" x14ac:dyDescent="0.25">
      <c r="A58" s="17"/>
      <c r="CY58" s="14">
        <f>VLOOKUP($CY$109,$B$3:$CV$14,57,FALSE)</f>
        <v>15</v>
      </c>
      <c r="CZ58" s="24" t="s">
        <v>140</v>
      </c>
      <c r="DA58" s="68" t="s">
        <v>118</v>
      </c>
      <c r="DB58" s="235"/>
    </row>
    <row r="59" spans="1:106" ht="18.75" hidden="1" customHeight="1" x14ac:dyDescent="0.25">
      <c r="A59" s="17"/>
      <c r="CY59" s="14">
        <f>VLOOKUP($CY$109,$B$3:$CV$14,58,FALSE)</f>
        <v>85.55068</v>
      </c>
      <c r="CZ59" s="24" t="s">
        <v>141</v>
      </c>
      <c r="DA59" s="68" t="s">
        <v>119</v>
      </c>
      <c r="DB59" s="235"/>
    </row>
    <row r="60" spans="1:106" ht="18.75" hidden="1" customHeight="1" x14ac:dyDescent="0.25">
      <c r="A60" s="17"/>
      <c r="CY60" s="14">
        <f>VLOOKUP($CY$109,$B$3:$CV$14,59,FALSE)</f>
        <v>0</v>
      </c>
      <c r="CZ60" s="24" t="s">
        <v>142</v>
      </c>
      <c r="DA60" s="68" t="s">
        <v>120</v>
      </c>
      <c r="DB60" s="235"/>
    </row>
    <row r="61" spans="1:106" ht="18.75" hidden="1" customHeight="1" x14ac:dyDescent="0.25">
      <c r="A61" s="17"/>
      <c r="CY61" s="14">
        <f>VLOOKUP($CY$109,$B$3:$CV$14,60,FALSE)</f>
        <v>231.65</v>
      </c>
      <c r="CZ61" s="24" t="s">
        <v>143</v>
      </c>
      <c r="DA61" s="68" t="s">
        <v>121</v>
      </c>
      <c r="DB61" s="235"/>
    </row>
    <row r="62" spans="1:106" ht="18.75" hidden="1" customHeight="1" x14ac:dyDescent="0.25">
      <c r="A62" s="17"/>
      <c r="CY62" s="14">
        <f>VLOOKUP($CY$109,$B$3:$CV$14,61,FALSE)</f>
        <v>295</v>
      </c>
      <c r="CZ62" s="24" t="s">
        <v>143</v>
      </c>
      <c r="DA62" s="68" t="s">
        <v>122</v>
      </c>
      <c r="DB62" s="235"/>
    </row>
    <row r="63" spans="1:106" ht="18.75" hidden="1" customHeight="1" x14ac:dyDescent="0.25">
      <c r="A63" s="17"/>
      <c r="CY63" s="14">
        <f>VLOOKUP($CY$109,$B$3:$CV$14,62,FALSE)</f>
        <v>50</v>
      </c>
      <c r="CZ63" s="24" t="s">
        <v>143</v>
      </c>
      <c r="DA63" s="68" t="s">
        <v>123</v>
      </c>
      <c r="DB63" s="235"/>
    </row>
    <row r="64" spans="1:106" ht="18.75" hidden="1" customHeight="1" x14ac:dyDescent="0.25">
      <c r="A64" s="17"/>
      <c r="CY64" s="14">
        <f>VLOOKUP($CY$109,$B$3:$CV$14,63,FALSE)</f>
        <v>5</v>
      </c>
      <c r="CZ64" s="24" t="s">
        <v>144</v>
      </c>
      <c r="DA64" s="68" t="s">
        <v>124</v>
      </c>
      <c r="DB64" s="235"/>
    </row>
    <row r="65" spans="1:106" ht="18.75" hidden="1" customHeight="1" x14ac:dyDescent="0.25">
      <c r="A65" s="17"/>
      <c r="CY65" s="14">
        <f>VLOOKUP($CY$109,$B$3:$CV$14,64,FALSE)</f>
        <v>325.11500000000001</v>
      </c>
      <c r="CZ65" s="24" t="s">
        <v>145</v>
      </c>
      <c r="DA65" s="68" t="s">
        <v>125</v>
      </c>
      <c r="DB65" s="235"/>
    </row>
    <row r="66" spans="1:106" ht="18.75" hidden="1" customHeight="1" x14ac:dyDescent="0.25">
      <c r="A66" s="17"/>
      <c r="CY66" s="14">
        <f>VLOOKUP($CY$109,$B$3:$CV$14,65,FALSE)</f>
        <v>98.185000000000002</v>
      </c>
      <c r="CZ66" s="24" t="s">
        <v>145</v>
      </c>
      <c r="DA66" s="68" t="s">
        <v>126</v>
      </c>
      <c r="DB66" s="235"/>
    </row>
    <row r="67" spans="1:106" ht="18.75" hidden="1" customHeight="1" x14ac:dyDescent="0.25">
      <c r="A67" s="17"/>
      <c r="CY67" s="14">
        <f>VLOOKUP($CY$109,$B$3:$CV$14,66,FALSE)</f>
        <v>24.347000000000001</v>
      </c>
      <c r="CZ67" s="24" t="s">
        <v>146</v>
      </c>
      <c r="DA67" s="68" t="s">
        <v>127</v>
      </c>
      <c r="DB67" s="235"/>
    </row>
    <row r="68" spans="1:106" ht="18.75" hidden="1" customHeight="1" x14ac:dyDescent="0.25">
      <c r="A68" s="17"/>
      <c r="CY68" s="14">
        <f>VLOOKUP($CY$109,$B$3:$CV$14,67,FALSE)</f>
        <v>63.021000000000001</v>
      </c>
      <c r="CZ68" s="24" t="s">
        <v>147</v>
      </c>
      <c r="DA68" s="68" t="s">
        <v>128</v>
      </c>
      <c r="DB68" s="235"/>
    </row>
    <row r="69" spans="1:106" ht="18.75" hidden="1" customHeight="1" x14ac:dyDescent="0.25">
      <c r="A69" s="17"/>
      <c r="CY69" s="14">
        <f>VLOOKUP($CY$109,$B$3:$CV$14,68,FALSE)</f>
        <v>26.268000000000001</v>
      </c>
      <c r="CZ69" s="24" t="s">
        <v>148</v>
      </c>
      <c r="DA69" s="68" t="s">
        <v>129</v>
      </c>
      <c r="DB69" s="235"/>
    </row>
    <row r="70" spans="1:106" ht="18.75" hidden="1" customHeight="1" x14ac:dyDescent="0.25">
      <c r="A70" s="17"/>
      <c r="CY70" s="14">
        <f>VLOOKUP($CY$109,$B$3:$CV$14,69,FALSE)</f>
        <v>5</v>
      </c>
      <c r="CZ70" s="24" t="s">
        <v>149</v>
      </c>
      <c r="DA70" s="68" t="s">
        <v>130</v>
      </c>
      <c r="DB70" s="235"/>
    </row>
    <row r="71" spans="1:106" ht="18.75" hidden="1" customHeight="1" x14ac:dyDescent="0.25">
      <c r="A71" s="17"/>
      <c r="CY71" s="14">
        <f>VLOOKUP($CY$109,$B$3:$CV$14,70,FALSE)</f>
        <v>670.64700000000005</v>
      </c>
      <c r="CZ71" s="24" t="s">
        <v>150</v>
      </c>
      <c r="DA71" s="68" t="s">
        <v>131</v>
      </c>
      <c r="DB71" s="235"/>
    </row>
    <row r="72" spans="1:106" ht="18.75" hidden="1" customHeight="1" x14ac:dyDescent="0.25">
      <c r="A72" s="17"/>
      <c r="CY72" s="14">
        <f>VLOOKUP($CY$109,$B$3:$CV$14,71,FALSE)</f>
        <v>423</v>
      </c>
      <c r="CZ72" s="24" t="s">
        <v>151</v>
      </c>
      <c r="DA72" s="68" t="s">
        <v>132</v>
      </c>
      <c r="DB72" s="235"/>
    </row>
    <row r="73" spans="1:106" ht="18.75" hidden="1" customHeight="1" x14ac:dyDescent="0.25">
      <c r="A73" s="17"/>
      <c r="CY73" s="14">
        <f>VLOOKUP($CY$109,$B$3:$CV$14,72,FALSE)</f>
        <v>263</v>
      </c>
      <c r="CZ73" s="24" t="s">
        <v>152</v>
      </c>
      <c r="DA73" s="68" t="s">
        <v>133</v>
      </c>
      <c r="DB73" s="235"/>
    </row>
    <row r="74" spans="1:106" ht="18.75" hidden="1" customHeight="1" x14ac:dyDescent="0.25">
      <c r="A74" s="17"/>
      <c r="CY74" s="14">
        <f>VLOOKUP($CY$109,$B$3:$CV$14,73,FALSE)</f>
        <v>2185.5820740221202</v>
      </c>
      <c r="CZ74" s="24" t="s">
        <v>153</v>
      </c>
      <c r="DA74" s="68" t="s">
        <v>134</v>
      </c>
      <c r="DB74" s="235"/>
    </row>
    <row r="75" spans="1:106" ht="18.75" hidden="1" customHeight="1" x14ac:dyDescent="0.25">
      <c r="A75" s="17"/>
      <c r="CY75" s="14">
        <f>VLOOKUP($CY$109,$B$3:$CV$14,74,FALSE)</f>
        <v>0</v>
      </c>
      <c r="CZ75" s="24" t="s">
        <v>154</v>
      </c>
      <c r="DA75" s="68" t="s">
        <v>135</v>
      </c>
      <c r="DB75" s="235"/>
    </row>
    <row r="76" spans="1:106" ht="18.75" hidden="1" customHeight="1" x14ac:dyDescent="0.25">
      <c r="A76" s="17"/>
      <c r="CY76" s="14">
        <f>VLOOKUP($CY$109,$B$3:$CV$14,75,FALSE)</f>
        <v>303.23500000000001</v>
      </c>
      <c r="CZ76" s="24" t="s">
        <v>145</v>
      </c>
      <c r="DA76" s="68" t="s">
        <v>125</v>
      </c>
      <c r="DB76" s="235">
        <v>2024</v>
      </c>
    </row>
    <row r="77" spans="1:106" ht="18.75" hidden="1" customHeight="1" x14ac:dyDescent="0.25">
      <c r="A77" s="17"/>
      <c r="CY77" s="14">
        <f>VLOOKUP($CY$109,$B$3:$CV$14,76,FALSE)</f>
        <v>91.576999999999998</v>
      </c>
      <c r="CZ77" s="24" t="s">
        <v>145</v>
      </c>
      <c r="DA77" s="68" t="s">
        <v>126</v>
      </c>
      <c r="DB77" s="235"/>
    </row>
    <row r="78" spans="1:106" ht="18.75" hidden="1" customHeight="1" x14ac:dyDescent="0.25">
      <c r="A78" s="17"/>
      <c r="CY78" s="14">
        <f>VLOOKUP($CY$109,$B$3:$CV$14,77,FALSE)</f>
        <v>0</v>
      </c>
      <c r="CZ78" s="24" t="s">
        <v>146</v>
      </c>
      <c r="DA78" s="68" t="s">
        <v>127</v>
      </c>
      <c r="DB78" s="235"/>
    </row>
    <row r="79" spans="1:106" ht="18.75" hidden="1" customHeight="1" x14ac:dyDescent="0.25">
      <c r="A79" s="17"/>
      <c r="CY79" s="14">
        <f>VLOOKUP($CY$109,$B$3:$CV$14,78,FALSE)</f>
        <v>52.25</v>
      </c>
      <c r="CZ79" s="24" t="s">
        <v>147</v>
      </c>
      <c r="DA79" s="68" t="s">
        <v>128</v>
      </c>
      <c r="DB79" s="235"/>
    </row>
    <row r="80" spans="1:106" ht="18.75" hidden="1" customHeight="1" x14ac:dyDescent="0.25">
      <c r="A80" s="17"/>
      <c r="CY80" s="14">
        <f>VLOOKUP($CY$109,$B$3:$CV$14,79,FALSE)</f>
        <v>0</v>
      </c>
      <c r="CZ80" s="24" t="s">
        <v>148</v>
      </c>
      <c r="DA80" s="68" t="s">
        <v>129</v>
      </c>
      <c r="DB80" s="235"/>
    </row>
    <row r="81" spans="1:106" ht="18.75" hidden="1" customHeight="1" x14ac:dyDescent="0.25">
      <c r="A81" s="17"/>
      <c r="CY81" s="14">
        <f>VLOOKUP($CY$109,$B$3:$CV$14,80,FALSE)</f>
        <v>0</v>
      </c>
      <c r="CZ81" s="24" t="s">
        <v>154</v>
      </c>
      <c r="DA81" s="68" t="s">
        <v>135</v>
      </c>
      <c r="DB81" s="235"/>
    </row>
    <row r="82" spans="1:106" ht="18.75" hidden="1" customHeight="1" x14ac:dyDescent="0.25">
      <c r="A82" s="17"/>
      <c r="CY82" s="14">
        <f>VLOOKUP($CY$109,$B$3:$CV$14,81,FALSE)</f>
        <v>315.226</v>
      </c>
      <c r="CZ82" s="24" t="s">
        <v>145</v>
      </c>
      <c r="DA82" s="68" t="s">
        <v>125</v>
      </c>
      <c r="DB82" s="235">
        <v>2025</v>
      </c>
    </row>
    <row r="83" spans="1:106" ht="18.75" hidden="1" customHeight="1" x14ac:dyDescent="0.25">
      <c r="A83" s="17"/>
      <c r="CY83" s="14">
        <f>VLOOKUP($CY$109,$B$3:$CV$14,82,FALSE)</f>
        <v>95.197999999999993</v>
      </c>
      <c r="CZ83" s="24" t="s">
        <v>145</v>
      </c>
      <c r="DA83" s="68" t="s">
        <v>126</v>
      </c>
      <c r="DB83" s="235"/>
    </row>
    <row r="84" spans="1:106" ht="18.75" hidden="1" customHeight="1" x14ac:dyDescent="0.25">
      <c r="A84" s="17"/>
      <c r="CY84" s="14">
        <f>VLOOKUP($CY$109,$B$3:$CV$14,83,FALSE)</f>
        <v>0</v>
      </c>
      <c r="CZ84" s="24" t="s">
        <v>146</v>
      </c>
      <c r="DA84" s="68" t="s">
        <v>127</v>
      </c>
      <c r="DB84" s="235"/>
    </row>
    <row r="85" spans="1:106" ht="18.75" hidden="1" customHeight="1" x14ac:dyDescent="0.25">
      <c r="A85" s="17"/>
      <c r="CY85" s="14">
        <f>VLOOKUP($CY$109,$B$3:$CV$14,84,FALSE)</f>
        <v>52.144999999999996</v>
      </c>
      <c r="CZ85" s="24" t="s">
        <v>147</v>
      </c>
      <c r="DA85" s="68" t="s">
        <v>128</v>
      </c>
      <c r="DB85" s="235"/>
    </row>
    <row r="86" spans="1:106" ht="18.75" hidden="1" customHeight="1" x14ac:dyDescent="0.25">
      <c r="A86" s="17"/>
      <c r="CY86" s="14">
        <f>VLOOKUP($CY$109,$B$3:$CV$14,85,FALSE)</f>
        <v>0</v>
      </c>
      <c r="CZ86" s="24" t="s">
        <v>148</v>
      </c>
      <c r="DA86" s="68" t="s">
        <v>129</v>
      </c>
      <c r="DB86" s="235"/>
    </row>
    <row r="87" spans="1:106" ht="18.75" hidden="1" customHeight="1" x14ac:dyDescent="0.25">
      <c r="A87" s="17"/>
      <c r="CY87" s="14">
        <f>VLOOKUP($CY$109,$B$3:$CV$14,86,FALSE)</f>
        <v>0</v>
      </c>
      <c r="CZ87" s="24" t="s">
        <v>154</v>
      </c>
      <c r="DA87" s="68" t="s">
        <v>135</v>
      </c>
      <c r="DB87" s="235"/>
    </row>
    <row r="88" spans="1:106" ht="18.75" hidden="1" customHeight="1" x14ac:dyDescent="0.25">
      <c r="A88" s="17"/>
      <c r="CY88" s="14">
        <f>(CY23-CY36)*0.025</f>
        <v>214.29944724999996</v>
      </c>
      <c r="CZ88" s="98" t="s">
        <v>156</v>
      </c>
      <c r="DA88" s="102">
        <v>2024</v>
      </c>
      <c r="DB88" s="34"/>
    </row>
    <row r="89" spans="1:106" ht="18.75" hidden="1" customHeight="1" thickBot="1" x14ac:dyDescent="0.3">
      <c r="A89" s="17"/>
      <c r="CY89" s="103">
        <f>(CY37-CY50)*0.05</f>
        <v>428.59889449999991</v>
      </c>
      <c r="CZ89" s="98" t="s">
        <v>156</v>
      </c>
      <c r="DA89" s="102">
        <v>2025</v>
      </c>
      <c r="DB89" s="34"/>
    </row>
    <row r="90" spans="1:106" ht="18.75" hidden="1" customHeight="1" x14ac:dyDescent="0.25">
      <c r="A90" s="17"/>
      <c r="CY90" s="105" t="str">
        <f>VLOOKUP($CY$109,$B$3:$CV$14,87,FALSE)</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2 448,582 тыс. рублей ежегодно.</v>
      </c>
      <c r="CZ90" s="106"/>
      <c r="DA90" s="107"/>
      <c r="DB90" s="34"/>
    </row>
    <row r="91" spans="1:106" ht="18.75" hidden="1" customHeight="1" thickBot="1" x14ac:dyDescent="0.3">
      <c r="A91" s="17"/>
      <c r="CY91" s="108" t="str">
        <f>VLOOKUP($CY$109,$B$3:$CV$14,88,FALSE)</f>
        <v>2. Утвердить распределение межбюджетных трансфертов:
1) на 2026 год согласно приложению 8 к настоящему решению.</v>
      </c>
      <c r="CZ91" s="109"/>
      <c r="DA91" s="110"/>
      <c r="DB91" s="34"/>
    </row>
    <row r="92" spans="1:106" ht="18.75" hidden="1" customHeight="1" x14ac:dyDescent="0.25">
      <c r="A92" s="17"/>
      <c r="CY92" s="104">
        <f>VLOOKUP($CY$109,$B$3:$CV$14,92,FALSE)</f>
        <v>1357.8494631033182</v>
      </c>
      <c r="CZ92" s="98" t="s">
        <v>162</v>
      </c>
      <c r="DA92" s="97"/>
      <c r="DB92" s="34"/>
    </row>
    <row r="93" spans="1:106" ht="18.75" hidden="1" customHeight="1" x14ac:dyDescent="0.25">
      <c r="A93" s="17"/>
      <c r="CY93" s="14">
        <f>VLOOKUP($CY$109,$B$3:$CV$14,93,FALSE)</f>
        <v>1285.7966834999997</v>
      </c>
      <c r="CZ93" s="98" t="s">
        <v>163</v>
      </c>
      <c r="DA93" s="97"/>
      <c r="DB93" s="34"/>
    </row>
    <row r="94" spans="1:106" ht="18.75" hidden="1" customHeight="1" x14ac:dyDescent="0.25">
      <c r="A94" s="17"/>
      <c r="CY94" s="14">
        <f>VLOOKUP($CY$109,$B$3:$CV$14,94,FALSE)</f>
        <v>1285.7966834999997</v>
      </c>
      <c r="CZ94" s="98" t="s">
        <v>164</v>
      </c>
      <c r="DA94" s="97"/>
      <c r="DB94" s="34"/>
    </row>
    <row r="95" spans="1:106" ht="18.75" hidden="1" customHeight="1" x14ac:dyDescent="0.25">
      <c r="A95" s="17"/>
      <c r="CY95" s="115">
        <f>VLOOKUP($CY$109,$B$3:$CV$14,95,FALSE)</f>
        <v>660</v>
      </c>
      <c r="CZ95" s="98" t="s">
        <v>232</v>
      </c>
      <c r="DA95" s="97"/>
      <c r="DB95" s="34"/>
    </row>
    <row r="96" spans="1:106" ht="18.75" hidden="1" customHeight="1" x14ac:dyDescent="0.25">
      <c r="A96" s="17"/>
      <c r="CY96" s="117" t="str">
        <f>VLOOKUP($CY$109,$B$3:$CV$14,89,FALSE)</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Z96" s="98" t="s">
        <v>157</v>
      </c>
      <c r="DA96" s="97"/>
      <c r="DB96" s="34"/>
    </row>
    <row r="97" spans="1:106" ht="18.75" hidden="1" customHeight="1" x14ac:dyDescent="0.25">
      <c r="A97" s="17"/>
      <c r="CY97" s="117">
        <f>VLOOKUP($CY$109,$B$3:$CV$14,90,FALSE)</f>
        <v>0</v>
      </c>
      <c r="CZ97" s="98" t="s">
        <v>341</v>
      </c>
      <c r="DA97" s="97"/>
      <c r="DB97" s="34"/>
    </row>
    <row r="98" spans="1:106" ht="18.75" hidden="1" customHeight="1" x14ac:dyDescent="0.25">
      <c r="A98" s="17"/>
      <c r="CY98" s="117" t="str">
        <f>VLOOKUP($CY$109,$B$3:$CV$14,91,FALSE)</f>
        <v xml:space="preserve"> </v>
      </c>
      <c r="CZ98" s="98" t="s">
        <v>342</v>
      </c>
      <c r="DA98" s="97"/>
      <c r="DB98" s="34"/>
    </row>
    <row r="99" spans="1:106" ht="18.75" hidden="1" customHeight="1" x14ac:dyDescent="0.25">
      <c r="A99" s="17"/>
      <c r="CY99" s="14">
        <f>VLOOKUP($CY$109,$B$3:$CX$14,100,FALSE)</f>
        <v>0</v>
      </c>
      <c r="CZ99" s="207" t="s">
        <v>354</v>
      </c>
      <c r="DA99" s="208" t="s">
        <v>349</v>
      </c>
      <c r="DB99" s="34"/>
    </row>
    <row r="100" spans="1:106" ht="18.75" hidden="1" customHeight="1" x14ac:dyDescent="0.25">
      <c r="A100" s="17"/>
      <c r="CY100" s="14">
        <f>VLOOKUP($CY$109,$B$3:$CX$14,101,FALSE)</f>
        <v>0</v>
      </c>
      <c r="CZ100" s="207" t="s">
        <v>355</v>
      </c>
      <c r="DA100" s="208" t="s">
        <v>350</v>
      </c>
      <c r="DB100" s="34"/>
    </row>
    <row r="101" spans="1:106" ht="18.75" hidden="1" customHeight="1" x14ac:dyDescent="0.25">
      <c r="A101" s="17"/>
      <c r="CY101" s="14"/>
      <c r="CZ101" s="33"/>
      <c r="DA101" s="97"/>
      <c r="DB101" s="34"/>
    </row>
    <row r="102" spans="1:106" ht="18.75" hidden="1" customHeight="1" x14ac:dyDescent="0.25">
      <c r="A102" s="17"/>
      <c r="CY102" s="14"/>
      <c r="CZ102" s="33"/>
      <c r="DA102" s="97"/>
      <c r="DB102" s="34"/>
    </row>
    <row r="103" spans="1:106" ht="18.75" hidden="1" customHeight="1" x14ac:dyDescent="0.25">
      <c r="A103" s="17"/>
      <c r="CY103" s="14"/>
      <c r="CZ103" s="72"/>
      <c r="DA103" s="73"/>
      <c r="DB103" s="34"/>
    </row>
    <row r="104" spans="1:106" ht="18.75" hidden="1" customHeight="1" x14ac:dyDescent="0.25">
      <c r="A104" s="17"/>
      <c r="CY104" s="14"/>
      <c r="CZ104" s="72"/>
      <c r="DA104" s="73"/>
      <c r="DB104" s="34"/>
    </row>
    <row r="105" spans="1:106" ht="18.75" hidden="1" customHeight="1" x14ac:dyDescent="0.25">
      <c r="A105" s="17"/>
      <c r="CY105" s="14"/>
      <c r="CZ105" s="72"/>
      <c r="DA105" s="73"/>
      <c r="DB105" s="34"/>
    </row>
    <row r="106" spans="1:106" ht="18.75" hidden="1" x14ac:dyDescent="0.25">
      <c r="A106" s="17"/>
      <c r="CY106" s="14"/>
      <c r="CZ106" s="32"/>
      <c r="DA106" s="33"/>
      <c r="DB106" s="34"/>
    </row>
    <row r="107" spans="1:106" ht="18.75" hidden="1" x14ac:dyDescent="0.25">
      <c r="A107" s="17"/>
      <c r="CY107" s="14"/>
      <c r="CZ107" s="32"/>
      <c r="DA107" s="33"/>
      <c r="DB107" s="34"/>
    </row>
    <row r="108" spans="1:106" ht="18.75" hidden="1" x14ac:dyDescent="0.25">
      <c r="A108" s="17"/>
      <c r="CY108" s="14"/>
      <c r="CZ108" s="32"/>
      <c r="DA108" s="33"/>
      <c r="DB108" s="34"/>
    </row>
    <row r="109" spans="1:106" ht="45" hidden="1" x14ac:dyDescent="0.25">
      <c r="A109" s="16" t="s">
        <v>78</v>
      </c>
      <c r="CY109" s="118" t="s">
        <v>12</v>
      </c>
    </row>
    <row r="110" spans="1:106" hidden="1" x14ac:dyDescent="0.25">
      <c r="E110" s="1"/>
      <c r="CY110" t="s">
        <v>12</v>
      </c>
    </row>
    <row r="111" spans="1:106" hidden="1" x14ac:dyDescent="0.25">
      <c r="CY111" t="s">
        <v>18</v>
      </c>
    </row>
    <row r="112" spans="1:106" hidden="1" x14ac:dyDescent="0.25">
      <c r="CY112" t="s">
        <v>52</v>
      </c>
    </row>
    <row r="113" spans="103:103" hidden="1" x14ac:dyDescent="0.25">
      <c r="CY113" t="s">
        <v>4</v>
      </c>
    </row>
    <row r="114" spans="103:103" hidden="1" x14ac:dyDescent="0.25">
      <c r="CY114" t="s">
        <v>27</v>
      </c>
    </row>
    <row r="115" spans="103:103" hidden="1" x14ac:dyDescent="0.25">
      <c r="CY115" t="s">
        <v>15</v>
      </c>
    </row>
    <row r="116" spans="103:103" hidden="1" x14ac:dyDescent="0.25">
      <c r="CY116" t="s">
        <v>73</v>
      </c>
    </row>
    <row r="117" spans="103:103" hidden="1" x14ac:dyDescent="0.25">
      <c r="CY117" t="s">
        <v>48</v>
      </c>
    </row>
    <row r="118" spans="103:103" hidden="1" x14ac:dyDescent="0.25">
      <c r="CY118" t="s">
        <v>43</v>
      </c>
    </row>
    <row r="119" spans="103:103" hidden="1" x14ac:dyDescent="0.25">
      <c r="CY119" t="s">
        <v>24</v>
      </c>
    </row>
    <row r="120" spans="103:103" hidden="1" x14ac:dyDescent="0.25">
      <c r="CY120" t="s">
        <v>31</v>
      </c>
    </row>
    <row r="121" spans="103:103" hidden="1" x14ac:dyDescent="0.25">
      <c r="CY121" t="s">
        <v>35</v>
      </c>
    </row>
    <row r="122" spans="103:103" hidden="1" x14ac:dyDescent="0.25"/>
  </sheetData>
  <sheetProtection sheet="1" objects="1" scenarios="1"/>
  <mergeCells count="6">
    <mergeCell ref="DB82:DB87"/>
    <mergeCell ref="DB9:DB22"/>
    <mergeCell ref="DB23:DB36"/>
    <mergeCell ref="DB37:DB50"/>
    <mergeCell ref="DB51:DB75"/>
    <mergeCell ref="DB76:DB81"/>
  </mergeCells>
  <dataValidations count="1">
    <dataValidation type="list" allowBlank="1" showInputMessage="1" showErrorMessage="1" sqref="CY109">
      <formula1>$CY$110:$CY$121</formula1>
    </dataValidation>
  </dataValidation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K65"/>
  <sheetViews>
    <sheetView showGridLines="0" showRuler="0" view="pageBreakPreview" topLeftCell="A31" zoomScale="85" zoomScaleSheetLayoutView="85" zoomScalePageLayoutView="85" workbookViewId="0">
      <selection activeCell="A34" sqref="A34:J34"/>
    </sheetView>
  </sheetViews>
  <sheetFormatPr defaultColWidth="9.140625" defaultRowHeight="15" x14ac:dyDescent="0.25"/>
  <cols>
    <col min="1" max="1" width="9.140625" style="123"/>
    <col min="2" max="2" width="9.140625" style="123" customWidth="1"/>
    <col min="3" max="16384" width="9.140625" style="123"/>
  </cols>
  <sheetData>
    <row r="5" spans="2:10" ht="22.5" x14ac:dyDescent="0.35">
      <c r="F5" s="124" t="s">
        <v>0</v>
      </c>
    </row>
    <row r="6" spans="2:10" ht="22.5" x14ac:dyDescent="0.35">
      <c r="F6" s="124" t="str">
        <f>CONCATENATE('Выбор поселения'!CY5," СЕЛЬСКОГО ПОСЕЛЕНИЯ")</f>
        <v>БРАТСКОГО СЕЛЬСКОГО ПОСЕЛЕНИЯ</v>
      </c>
    </row>
    <row r="7" spans="2:10" ht="22.5" x14ac:dyDescent="0.35">
      <c r="F7" s="124" t="s">
        <v>3</v>
      </c>
    </row>
    <row r="8" spans="2:10" ht="6" customHeight="1" thickBot="1" x14ac:dyDescent="0.3">
      <c r="B8" s="125"/>
      <c r="C8" s="125"/>
      <c r="D8" s="125"/>
      <c r="E8" s="125"/>
      <c r="F8" s="125"/>
      <c r="G8" s="125"/>
      <c r="H8" s="125"/>
      <c r="I8" s="125"/>
      <c r="J8" s="125"/>
    </row>
    <row r="9" spans="2:10" ht="24.75" customHeight="1" thickTop="1" x14ac:dyDescent="0.25">
      <c r="F9" s="126" t="str">
        <f>CONCATENATE("ЧР, Надтеречный  район, с.",'Выбор поселения'!CY4)</f>
        <v>ЧР, Надтеречный  район, с.Братское</v>
      </c>
    </row>
    <row r="11" spans="2:10" ht="7.15" customHeight="1" x14ac:dyDescent="0.25"/>
    <row r="12" spans="2:10" ht="20.45" customHeight="1" x14ac:dyDescent="0.3">
      <c r="F12" s="127" t="str">
        <f>CONCATENATE("Решение № ",'Выбор поселения'!CY6)</f>
        <v>Решение № 15</v>
      </c>
    </row>
    <row r="14" spans="2:10" ht="31.5" customHeight="1" x14ac:dyDescent="0.3">
      <c r="B14" s="128" t="str">
        <f>CONCATENATE("от  « ",'Выбор поселения'!CY7," » декабря 2025 г.")</f>
        <v>от  « 30 » декабря 2025 г.</v>
      </c>
      <c r="J14" s="129" t="str">
        <f>CONCATENATE("с.",'Выбор поселения'!CY4)</f>
        <v>с.Братское</v>
      </c>
    </row>
    <row r="17" spans="1:11" ht="18.75" x14ac:dyDescent="0.3">
      <c r="A17" s="242" t="str">
        <f>CONCATENATE("«О бюджете  ",'Выбор поселения'!CY8," сельского поселения на 2026 год»")</f>
        <v>«О бюджете  Братского сельского поселения на 2026 год»</v>
      </c>
      <c r="B17" s="242"/>
      <c r="C17" s="242"/>
      <c r="D17" s="242"/>
      <c r="E17" s="242"/>
      <c r="F17" s="242"/>
      <c r="G17" s="242"/>
      <c r="H17" s="242"/>
      <c r="I17" s="242"/>
      <c r="J17" s="242"/>
    </row>
    <row r="19" spans="1:11" ht="18.75" x14ac:dyDescent="0.3">
      <c r="A19" s="242" t="str">
        <f>CONCATENATE("Статья 1. Основные характеристики бюджета сельского поселения на 2026 год.")</f>
        <v>Статья 1. Основные характеристики бюджета сельского поселения на 2026 год.</v>
      </c>
      <c r="B19" s="242"/>
      <c r="C19" s="242"/>
      <c r="D19" s="242"/>
      <c r="E19" s="242"/>
      <c r="F19" s="242"/>
      <c r="G19" s="242"/>
      <c r="H19" s="242"/>
      <c r="I19" s="242"/>
      <c r="J19" s="242"/>
    </row>
    <row r="20" spans="1:11" ht="15.75" customHeight="1" x14ac:dyDescent="0.3">
      <c r="A20" s="239" t="str">
        <f>CONCATENATE("  1. Утвердить основные характеристики бюджета ",'Выбор поселения'!CY8," сельского поселения на 2026 год, определенные исходя из прогнозируемого уровня инфляции, не превышающего 4,0 процента (декабрь 2026 года к декабрю 2025 года):")</f>
        <v xml:space="preserve">  1. Утвердить основные характеристики бюджета Братского сельского поселения на 2026 год, определенные исходя из прогнозируемого уровня инфляции, не превышающего 4,0 процента (декабрь 2026 года к декабрю 2025 года):</v>
      </c>
      <c r="B20" s="239"/>
      <c r="C20" s="239"/>
      <c r="D20" s="239"/>
      <c r="E20" s="239"/>
      <c r="F20" s="239"/>
      <c r="G20" s="239"/>
      <c r="H20" s="239"/>
      <c r="I20" s="239"/>
      <c r="J20" s="239"/>
      <c r="K20" s="130"/>
    </row>
    <row r="21" spans="1:11" ht="59.45" customHeight="1" x14ac:dyDescent="0.3">
      <c r="A21" s="239"/>
      <c r="B21" s="239"/>
      <c r="C21" s="239"/>
      <c r="D21" s="239"/>
      <c r="E21" s="239"/>
      <c r="F21" s="239"/>
      <c r="G21" s="239"/>
      <c r="H21" s="239"/>
      <c r="I21" s="239"/>
      <c r="J21" s="239"/>
      <c r="K21" s="130"/>
    </row>
    <row r="22" spans="1:11" s="132" customFormat="1" ht="78.599999999999994" customHeight="1" x14ac:dyDescent="0.3">
      <c r="A22" s="246" t="str">
        <f>CONCATENATE("1)прогнозируемый общий объем доходов бюджета сельского поселения в сумме 14 426,935 ", " тыс. рублей, в том числе безвозмездных и безвозвратных поступлений из районного бюджета 11 954,135", " тыс рублей, налоговых и неналоговых доходов       ",TEXT('Выбор поселения'!CY10,"000,000")," тыс. рублей;")</f>
        <v>1)прогнозируемый общий объем доходов бюджета сельского поселения в сумме 14 426,935  тыс. рублей, в том числе безвозмездных и безвозвратных поступлений из районного бюджета 11 954,135 тыс рублей, налоговых и неналоговых доходов       2472,800 тыс. рублей;</v>
      </c>
      <c r="B22" s="246"/>
      <c r="C22" s="246"/>
      <c r="D22" s="246"/>
      <c r="E22" s="246"/>
      <c r="F22" s="246"/>
      <c r="G22" s="246"/>
      <c r="H22" s="246"/>
      <c r="I22" s="246"/>
      <c r="J22" s="246"/>
      <c r="K22" s="131"/>
    </row>
    <row r="23" spans="1:11" s="132" customFormat="1" ht="41.25" customHeight="1" x14ac:dyDescent="0.3">
      <c r="A23" s="247" t="str">
        <f>CONCATENATE("2)общий объем расходов бюджета сельского поселения в сумме 14 426,935"," тыс. рублей;")</f>
        <v>2)общий объем расходов бюджета сельского поселения в сумме 14 426,935 тыс. рублей;</v>
      </c>
      <c r="B23" s="247"/>
      <c r="C23" s="247"/>
      <c r="D23" s="247"/>
      <c r="E23" s="247"/>
      <c r="F23" s="247"/>
      <c r="G23" s="247"/>
      <c r="H23" s="247"/>
      <c r="I23" s="247"/>
      <c r="J23" s="247"/>
      <c r="K23" s="131"/>
    </row>
    <row r="24" spans="1:11" s="132" customFormat="1" ht="18.75" x14ac:dyDescent="0.3">
      <c r="A24" s="244" t="str">
        <f>CONCATENATE("3)дефицит (профицит) бюджета сельского поселения в сумме 0 тыс. рублей.")</f>
        <v>3)дефицит (профицит) бюджета сельского поселения в сумме 0 тыс. рублей.</v>
      </c>
      <c r="B24" s="244"/>
      <c r="C24" s="244"/>
      <c r="D24" s="244"/>
      <c r="E24" s="244"/>
      <c r="F24" s="244"/>
      <c r="G24" s="244"/>
      <c r="H24" s="244"/>
      <c r="I24" s="244"/>
      <c r="J24" s="244"/>
      <c r="K24" s="131"/>
    </row>
    <row r="25" spans="1:11" ht="18.75" x14ac:dyDescent="0.3">
      <c r="A25" s="240" t="str">
        <f>CONCATENATE("Статья 2. Нормативы зачисления доходов в бюджет сельского поселения.")</f>
        <v>Статья 2. Нормативы зачисления доходов в бюджет сельского поселения.</v>
      </c>
      <c r="B25" s="240"/>
      <c r="C25" s="240"/>
      <c r="D25" s="240"/>
      <c r="E25" s="240"/>
      <c r="F25" s="240"/>
      <c r="G25" s="240"/>
      <c r="H25" s="240"/>
      <c r="I25" s="240"/>
      <c r="J25" s="240"/>
      <c r="K25" s="131"/>
    </row>
    <row r="26" spans="1:11" ht="256.5" customHeight="1" x14ac:dyDescent="0.3">
      <c r="A26" s="243" t="s">
        <v>388</v>
      </c>
      <c r="B26" s="243"/>
      <c r="C26" s="243"/>
      <c r="D26" s="243"/>
      <c r="E26" s="243"/>
      <c r="F26" s="243"/>
      <c r="G26" s="243"/>
      <c r="H26" s="243"/>
      <c r="I26" s="243"/>
      <c r="J26" s="243"/>
      <c r="K26" s="131"/>
    </row>
    <row r="27" spans="1:11" ht="18.75" x14ac:dyDescent="0.3">
      <c r="A27" s="240" t="str">
        <f>CONCATENATE("Статья 3. Прогноз поступления доходов в бюджет  сельского поселения.")</f>
        <v>Статья 3. Прогноз поступления доходов в бюджет  сельского поселения.</v>
      </c>
      <c r="B27" s="240"/>
      <c r="C27" s="240"/>
      <c r="D27" s="240"/>
      <c r="E27" s="240"/>
      <c r="F27" s="240"/>
      <c r="G27" s="240"/>
      <c r="H27" s="240"/>
      <c r="I27" s="240"/>
      <c r="J27" s="240"/>
      <c r="K27" s="131"/>
    </row>
    <row r="28" spans="1:11" ht="39.75" customHeight="1" x14ac:dyDescent="0.3">
      <c r="A28" s="244" t="s">
        <v>366</v>
      </c>
      <c r="B28" s="244"/>
      <c r="C28" s="244"/>
      <c r="D28" s="244"/>
      <c r="E28" s="244"/>
      <c r="F28" s="244"/>
      <c r="G28" s="244"/>
      <c r="H28" s="244"/>
      <c r="I28" s="244"/>
      <c r="J28" s="244"/>
      <c r="K28" s="131"/>
    </row>
    <row r="29" spans="1:11" ht="18.75" x14ac:dyDescent="0.3">
      <c r="A29" s="240" t="s">
        <v>360</v>
      </c>
      <c r="B29" s="240"/>
      <c r="C29" s="240"/>
      <c r="D29" s="240"/>
      <c r="E29" s="240"/>
      <c r="F29" s="240"/>
      <c r="G29" s="240"/>
      <c r="H29" s="240"/>
      <c r="I29" s="240"/>
      <c r="J29" s="240"/>
      <c r="K29" s="131"/>
    </row>
    <row r="30" spans="1:11" ht="130.15" customHeight="1" x14ac:dyDescent="0.3">
      <c r="A30" s="244" t="s">
        <v>367</v>
      </c>
      <c r="B30" s="244"/>
      <c r="C30" s="244"/>
      <c r="D30" s="244"/>
      <c r="E30" s="244"/>
      <c r="F30" s="244"/>
      <c r="G30" s="244"/>
      <c r="H30" s="244"/>
      <c r="I30" s="244"/>
      <c r="J30" s="244"/>
      <c r="K30" s="131"/>
    </row>
    <row r="31" spans="1:11" ht="23.25" customHeight="1" x14ac:dyDescent="0.3">
      <c r="A31" s="244" t="s">
        <v>368</v>
      </c>
      <c r="B31" s="244"/>
      <c r="C31" s="244"/>
      <c r="D31" s="244"/>
      <c r="E31" s="244"/>
      <c r="F31" s="244"/>
      <c r="G31" s="244"/>
      <c r="H31" s="244"/>
      <c r="I31" s="244"/>
      <c r="J31" s="244"/>
      <c r="K31" s="131"/>
    </row>
    <row r="32" spans="1:11" ht="97.5" customHeight="1" x14ac:dyDescent="0.3">
      <c r="A32" s="244" t="s">
        <v>369</v>
      </c>
      <c r="B32" s="244"/>
      <c r="C32" s="244"/>
      <c r="D32" s="244"/>
      <c r="E32" s="244"/>
      <c r="F32" s="244"/>
      <c r="G32" s="244"/>
      <c r="H32" s="244"/>
      <c r="I32" s="244"/>
      <c r="J32" s="244"/>
      <c r="K32" s="131"/>
    </row>
    <row r="33" spans="1:11" ht="18.75" x14ac:dyDescent="0.3">
      <c r="A33" s="240" t="s">
        <v>361</v>
      </c>
      <c r="B33" s="240"/>
      <c r="C33" s="240"/>
      <c r="D33" s="240"/>
      <c r="E33" s="240"/>
      <c r="F33" s="240"/>
      <c r="G33" s="240"/>
      <c r="H33" s="240"/>
      <c r="I33" s="240"/>
      <c r="J33" s="240"/>
      <c r="K33" s="131"/>
    </row>
    <row r="34" spans="1:11" ht="145.9" customHeight="1" x14ac:dyDescent="0.25">
      <c r="A34" s="248" t="s">
        <v>396</v>
      </c>
      <c r="B34" s="248"/>
      <c r="C34" s="248"/>
      <c r="D34" s="248"/>
      <c r="E34" s="248"/>
      <c r="F34" s="248"/>
      <c r="G34" s="248"/>
      <c r="H34" s="248"/>
      <c r="I34" s="248"/>
      <c r="J34" s="248"/>
      <c r="K34" s="131"/>
    </row>
    <row r="35" spans="1:11" ht="67.900000000000006" customHeight="1" x14ac:dyDescent="0.25">
      <c r="A35" s="249" t="str">
        <f>CONCATENATE("  ",'Выбор поселения'!CY91)</f>
        <v xml:space="preserve">  2. Утвердить распределение межбюджетных трансфертов:
1) на 2026 год согласно приложению 8 к настоящему решению.</v>
      </c>
      <c r="B35" s="249"/>
      <c r="C35" s="249"/>
      <c r="D35" s="249"/>
      <c r="E35" s="249"/>
      <c r="F35" s="249"/>
      <c r="G35" s="249"/>
      <c r="H35" s="249"/>
      <c r="I35" s="249"/>
      <c r="J35" s="249"/>
      <c r="K35" s="131"/>
    </row>
    <row r="36" spans="1:11" ht="18.75" x14ac:dyDescent="0.3">
      <c r="A36" s="240" t="s">
        <v>158</v>
      </c>
      <c r="B36" s="240"/>
      <c r="C36" s="240"/>
      <c r="D36" s="240"/>
      <c r="E36" s="240"/>
      <c r="F36" s="240"/>
      <c r="G36" s="240"/>
      <c r="H36" s="240"/>
      <c r="I36" s="240"/>
      <c r="J36" s="240"/>
      <c r="K36" s="131"/>
    </row>
    <row r="37" spans="1:11" ht="76.900000000000006" customHeight="1" x14ac:dyDescent="0.3">
      <c r="A37" s="244" t="s">
        <v>370</v>
      </c>
      <c r="B37" s="244"/>
      <c r="C37" s="244"/>
      <c r="D37" s="244"/>
      <c r="E37" s="244"/>
      <c r="F37" s="244"/>
      <c r="G37" s="244"/>
      <c r="H37" s="244"/>
      <c r="I37" s="244"/>
      <c r="J37" s="244"/>
      <c r="K37" s="131"/>
    </row>
    <row r="38" spans="1:11" ht="118.15" customHeight="1" x14ac:dyDescent="0.3">
      <c r="A38" s="244" t="s">
        <v>362</v>
      </c>
      <c r="B38" s="244"/>
      <c r="C38" s="244"/>
      <c r="D38" s="244"/>
      <c r="E38" s="244"/>
      <c r="F38" s="244"/>
      <c r="G38" s="244"/>
      <c r="H38" s="244"/>
      <c r="I38" s="244"/>
      <c r="J38" s="244"/>
      <c r="K38" s="131"/>
    </row>
    <row r="39" spans="1:11" ht="103.5" customHeight="1" x14ac:dyDescent="0.3">
      <c r="A39" s="245" t="s">
        <v>278</v>
      </c>
      <c r="B39" s="245"/>
      <c r="C39" s="245"/>
      <c r="D39" s="245"/>
      <c r="E39" s="245"/>
      <c r="F39" s="245"/>
      <c r="G39" s="245"/>
      <c r="H39" s="245"/>
      <c r="I39" s="245"/>
      <c r="J39" s="245"/>
      <c r="K39" s="131"/>
    </row>
    <row r="40" spans="1:11" ht="57.6" customHeight="1" x14ac:dyDescent="0.3">
      <c r="A40" s="240" t="s">
        <v>371</v>
      </c>
      <c r="B40" s="240"/>
      <c r="C40" s="240"/>
      <c r="D40" s="240"/>
      <c r="E40" s="240"/>
      <c r="F40" s="240"/>
      <c r="G40" s="240"/>
      <c r="H40" s="240"/>
      <c r="I40" s="240"/>
      <c r="J40" s="240"/>
      <c r="K40" s="131"/>
    </row>
    <row r="41" spans="1:11" ht="126" customHeight="1" x14ac:dyDescent="0.3">
      <c r="A41" s="239" t="s">
        <v>389</v>
      </c>
      <c r="B41" s="239"/>
      <c r="C41" s="239"/>
      <c r="D41" s="239"/>
      <c r="E41" s="239"/>
      <c r="F41" s="239"/>
      <c r="G41" s="239"/>
      <c r="H41" s="239"/>
      <c r="I41" s="239"/>
      <c r="J41" s="239"/>
      <c r="K41" s="131"/>
    </row>
    <row r="42" spans="1:11" ht="66.75" customHeight="1" x14ac:dyDescent="0.3">
      <c r="A42" s="239" t="str">
        <f>CONCATENATE("  3.  Утвердить предельный объем расходов на обслуживание муниципального внутреннего долга сельского поселения:1) на 2026 год в сумме ",TEXT('Выбор поселения'!CY92,"000,000")," тыс. рублей.")</f>
        <v xml:space="preserve">  3.  Утвердить предельный объем расходов на обслуживание муниципального внутреннего долга сельского поселения:1) на 2026 год в сумме 1357,849 тыс. рублей.</v>
      </c>
      <c r="B42" s="239"/>
      <c r="C42" s="239"/>
      <c r="D42" s="239"/>
      <c r="E42" s="239"/>
      <c r="F42" s="239"/>
      <c r="G42" s="239"/>
      <c r="H42" s="239"/>
      <c r="I42" s="239"/>
      <c r="J42" s="239"/>
      <c r="K42" s="131"/>
    </row>
    <row r="43" spans="1:11" ht="61.9" customHeight="1" x14ac:dyDescent="0.3">
      <c r="A43" s="239" t="s">
        <v>372</v>
      </c>
      <c r="B43" s="239"/>
      <c r="C43" s="239"/>
      <c r="D43" s="239"/>
      <c r="E43" s="239"/>
      <c r="F43" s="239"/>
      <c r="G43" s="239"/>
      <c r="H43" s="239"/>
      <c r="I43" s="239"/>
      <c r="J43" s="239"/>
      <c r="K43" s="131"/>
    </row>
    <row r="44" spans="1:11" ht="108.75" customHeight="1" x14ac:dyDescent="0.3">
      <c r="A44" s="239" t="s">
        <v>373</v>
      </c>
      <c r="B44" s="239"/>
      <c r="C44" s="239"/>
      <c r="D44" s="239"/>
      <c r="E44" s="239"/>
      <c r="F44" s="239"/>
      <c r="G44" s="239"/>
      <c r="H44" s="239"/>
      <c r="I44" s="239"/>
      <c r="J44" s="239"/>
      <c r="K44" s="131"/>
    </row>
    <row r="45" spans="1:11" ht="50.45" customHeight="1" x14ac:dyDescent="0.3">
      <c r="A45" s="240" t="s">
        <v>378</v>
      </c>
      <c r="B45" s="240"/>
      <c r="C45" s="240"/>
      <c r="D45" s="240"/>
      <c r="E45" s="240"/>
      <c r="F45" s="240"/>
      <c r="G45" s="240"/>
      <c r="H45" s="240"/>
      <c r="I45" s="240"/>
      <c r="J45" s="240"/>
      <c r="K45" s="131"/>
    </row>
    <row r="46" spans="1:11" ht="79.150000000000006" customHeight="1" x14ac:dyDescent="0.3">
      <c r="A46" s="239" t="s">
        <v>165</v>
      </c>
      <c r="B46" s="239"/>
      <c r="C46" s="239"/>
      <c r="D46" s="239"/>
      <c r="E46" s="239"/>
      <c r="F46" s="239"/>
      <c r="G46" s="239"/>
      <c r="H46" s="239"/>
      <c r="I46" s="239"/>
      <c r="J46" s="239"/>
      <c r="K46" s="131"/>
    </row>
    <row r="47" spans="1:11" ht="129" customHeight="1" x14ac:dyDescent="0.3">
      <c r="A47" s="239" t="s">
        <v>374</v>
      </c>
      <c r="B47" s="239"/>
      <c r="C47" s="239"/>
      <c r="D47" s="239"/>
      <c r="E47" s="239"/>
      <c r="F47" s="239"/>
      <c r="G47" s="239"/>
      <c r="H47" s="239"/>
      <c r="I47" s="239"/>
      <c r="J47" s="239"/>
      <c r="K47" s="131"/>
    </row>
    <row r="48" spans="1:11" ht="105.75" customHeight="1" x14ac:dyDescent="0.3">
      <c r="A48" s="239" t="s">
        <v>347</v>
      </c>
      <c r="B48" s="239"/>
      <c r="C48" s="239"/>
      <c r="D48" s="239"/>
      <c r="E48" s="239"/>
      <c r="F48" s="239"/>
      <c r="G48" s="239"/>
      <c r="H48" s="239"/>
      <c r="I48" s="239"/>
      <c r="J48" s="239"/>
      <c r="K48" s="131"/>
    </row>
    <row r="49" spans="1:11" ht="135" customHeight="1" x14ac:dyDescent="0.3">
      <c r="A49" s="239" t="s">
        <v>166</v>
      </c>
      <c r="B49" s="239"/>
      <c r="C49" s="239"/>
      <c r="D49" s="239"/>
      <c r="E49" s="239"/>
      <c r="F49" s="239"/>
      <c r="G49" s="239"/>
      <c r="H49" s="239"/>
      <c r="I49" s="239"/>
      <c r="J49" s="239"/>
      <c r="K49" s="131"/>
    </row>
    <row r="50" spans="1:11" ht="63" customHeight="1" x14ac:dyDescent="0.3">
      <c r="A50" s="239" t="s">
        <v>375</v>
      </c>
      <c r="B50" s="239"/>
      <c r="C50" s="239"/>
      <c r="D50" s="239"/>
      <c r="E50" s="239"/>
      <c r="F50" s="239"/>
      <c r="G50" s="239"/>
      <c r="H50" s="239"/>
      <c r="I50" s="239"/>
      <c r="J50" s="239"/>
      <c r="K50" s="131"/>
    </row>
    <row r="51" spans="1:11" ht="150.6" customHeight="1" x14ac:dyDescent="0.3">
      <c r="A51" s="239" t="s">
        <v>348</v>
      </c>
      <c r="B51" s="239"/>
      <c r="C51" s="239"/>
      <c r="D51" s="239"/>
      <c r="E51" s="239"/>
      <c r="F51" s="239"/>
      <c r="G51" s="239"/>
      <c r="H51" s="239"/>
      <c r="I51" s="239"/>
      <c r="J51" s="239"/>
      <c r="K51" s="131"/>
    </row>
    <row r="52" spans="1:11" ht="157.9" customHeight="1" x14ac:dyDescent="0.3">
      <c r="A52" s="239" t="s">
        <v>345</v>
      </c>
      <c r="B52" s="239"/>
      <c r="C52" s="239"/>
      <c r="D52" s="239"/>
      <c r="E52" s="239"/>
      <c r="F52" s="239"/>
      <c r="G52" s="239"/>
      <c r="H52" s="239"/>
      <c r="I52" s="239"/>
      <c r="J52" s="239"/>
      <c r="K52" s="131"/>
    </row>
    <row r="53" spans="1:11" ht="165" customHeight="1" x14ac:dyDescent="0.3">
      <c r="A53" s="239" t="s">
        <v>346</v>
      </c>
      <c r="B53" s="239"/>
      <c r="C53" s="239"/>
      <c r="D53" s="239"/>
      <c r="E53" s="239"/>
      <c r="F53" s="239"/>
      <c r="G53" s="239"/>
      <c r="H53" s="239"/>
      <c r="I53" s="239"/>
      <c r="J53" s="239"/>
      <c r="K53" s="131"/>
    </row>
    <row r="54" spans="1:11" ht="37.9" customHeight="1" x14ac:dyDescent="0.3">
      <c r="A54" s="240" t="s">
        <v>167</v>
      </c>
      <c r="B54" s="240"/>
      <c r="C54" s="240"/>
      <c r="D54" s="240"/>
      <c r="E54" s="240"/>
      <c r="F54" s="240"/>
      <c r="G54" s="240"/>
      <c r="H54" s="240"/>
      <c r="I54" s="240"/>
      <c r="J54" s="240"/>
    </row>
    <row r="55" spans="1:11" ht="43.5" customHeight="1" x14ac:dyDescent="0.3">
      <c r="A55" s="239" t="s">
        <v>376</v>
      </c>
      <c r="B55" s="239"/>
      <c r="C55" s="239"/>
      <c r="D55" s="239"/>
      <c r="E55" s="239"/>
      <c r="F55" s="239"/>
      <c r="G55" s="239"/>
      <c r="H55" s="239"/>
      <c r="I55" s="239"/>
      <c r="J55" s="239"/>
    </row>
    <row r="56" spans="1:11" ht="31.9" customHeight="1" x14ac:dyDescent="0.3">
      <c r="A56" s="240" t="s">
        <v>168</v>
      </c>
      <c r="B56" s="240"/>
      <c r="C56" s="240"/>
      <c r="D56" s="240"/>
      <c r="E56" s="240"/>
      <c r="F56" s="240"/>
      <c r="G56" s="240"/>
      <c r="H56" s="240"/>
      <c r="I56" s="240"/>
      <c r="J56" s="240"/>
    </row>
    <row r="57" spans="1:11" ht="19.149999999999999" hidden="1" customHeight="1" x14ac:dyDescent="0.3">
      <c r="A57" s="133"/>
      <c r="B57" s="239"/>
      <c r="C57" s="239"/>
      <c r="D57" s="239"/>
      <c r="E57" s="239"/>
      <c r="F57" s="239"/>
      <c r="G57" s="239"/>
      <c r="H57" s="239"/>
      <c r="I57" s="239"/>
      <c r="J57" s="239"/>
    </row>
    <row r="58" spans="1:11" ht="33.6" customHeight="1" x14ac:dyDescent="0.3">
      <c r="A58" s="239" t="s">
        <v>169</v>
      </c>
      <c r="B58" s="239"/>
      <c r="C58" s="239"/>
      <c r="D58" s="239"/>
      <c r="E58" s="239"/>
      <c r="F58" s="239"/>
      <c r="G58" s="239"/>
      <c r="H58" s="239"/>
      <c r="I58" s="239"/>
      <c r="J58" s="239"/>
    </row>
    <row r="59" spans="1:11" ht="22.5" customHeight="1" x14ac:dyDescent="0.3">
      <c r="A59" s="239" t="s">
        <v>377</v>
      </c>
      <c r="B59" s="239"/>
      <c r="C59" s="239"/>
      <c r="D59" s="239"/>
      <c r="E59" s="239"/>
      <c r="F59" s="239"/>
      <c r="G59" s="239"/>
      <c r="H59" s="239"/>
      <c r="I59" s="239"/>
      <c r="J59" s="239"/>
    </row>
    <row r="60" spans="1:11" ht="9" customHeight="1" x14ac:dyDescent="0.3">
      <c r="A60" s="134"/>
      <c r="B60" s="134"/>
      <c r="C60" s="134"/>
      <c r="D60" s="134"/>
      <c r="E60" s="134"/>
      <c r="F60" s="134"/>
      <c r="G60" s="134"/>
      <c r="H60" s="134"/>
      <c r="I60" s="134"/>
      <c r="J60" s="134"/>
    </row>
    <row r="61" spans="1:11" ht="4.9000000000000004" customHeight="1" x14ac:dyDescent="0.3">
      <c r="A61" s="134"/>
      <c r="B61" s="134"/>
      <c r="C61" s="134"/>
      <c r="D61" s="134"/>
      <c r="E61" s="134"/>
      <c r="F61" s="134"/>
      <c r="G61" s="134"/>
      <c r="H61" s="134"/>
      <c r="I61" s="134"/>
      <c r="J61" s="134"/>
    </row>
    <row r="62" spans="1:11" ht="18.75" x14ac:dyDescent="0.3">
      <c r="A62" s="135" t="s">
        <v>59</v>
      </c>
      <c r="B62" s="135"/>
      <c r="C62" s="136"/>
      <c r="D62" s="136"/>
      <c r="E62" s="136"/>
      <c r="F62" s="136"/>
      <c r="G62" s="136"/>
      <c r="H62" s="136"/>
      <c r="I62" s="136"/>
      <c r="J62" s="136"/>
    </row>
    <row r="63" spans="1:11" ht="18.75" x14ac:dyDescent="0.3">
      <c r="A63" s="135" t="str">
        <f>'Выбор поселения'!CY8</f>
        <v>Братского</v>
      </c>
      <c r="B63" s="135"/>
      <c r="C63" s="135"/>
      <c r="D63" s="136"/>
      <c r="E63" s="136"/>
      <c r="F63" s="136"/>
      <c r="G63" s="136"/>
      <c r="H63" s="136"/>
      <c r="I63" s="136"/>
      <c r="J63" s="136"/>
    </row>
    <row r="64" spans="1:11" ht="18.75" x14ac:dyDescent="0.3">
      <c r="A64" s="135" t="s">
        <v>9</v>
      </c>
      <c r="B64" s="135"/>
      <c r="C64" s="135"/>
      <c r="D64" s="135"/>
      <c r="E64" s="136"/>
      <c r="F64" s="136"/>
      <c r="G64" s="136"/>
      <c r="H64" s="241" t="str">
        <f>'Выбор поселения'!CY3</f>
        <v>А.А. Умаров</v>
      </c>
      <c r="I64" s="241"/>
      <c r="J64" s="241"/>
    </row>
    <row r="65" spans="2:10" ht="18.75" x14ac:dyDescent="0.3">
      <c r="B65" s="136"/>
      <c r="C65" s="136"/>
      <c r="D65" s="136"/>
      <c r="E65" s="136"/>
      <c r="F65" s="136"/>
      <c r="G65" s="136"/>
      <c r="H65" s="136"/>
      <c r="I65" s="136"/>
      <c r="J65" s="136"/>
    </row>
  </sheetData>
  <mergeCells count="42">
    <mergeCell ref="A38:J38"/>
    <mergeCell ref="A47:J47"/>
    <mergeCell ref="A36:J36"/>
    <mergeCell ref="A25:J25"/>
    <mergeCell ref="A31:J31"/>
    <mergeCell ref="A32:J32"/>
    <mergeCell ref="A33:J33"/>
    <mergeCell ref="A34:J34"/>
    <mergeCell ref="A35:J35"/>
    <mergeCell ref="A17:J17"/>
    <mergeCell ref="A20:J21"/>
    <mergeCell ref="B57:J57"/>
    <mergeCell ref="A26:J26"/>
    <mergeCell ref="A37:J37"/>
    <mergeCell ref="A39:J39"/>
    <mergeCell ref="A40:J40"/>
    <mergeCell ref="A41:J41"/>
    <mergeCell ref="A19:J19"/>
    <mergeCell ref="A22:J22"/>
    <mergeCell ref="A23:J23"/>
    <mergeCell ref="A24:J24"/>
    <mergeCell ref="A27:J27"/>
    <mergeCell ref="A28:J28"/>
    <mergeCell ref="A29:J29"/>
    <mergeCell ref="A30:J30"/>
    <mergeCell ref="H64:J64"/>
    <mergeCell ref="A55:J55"/>
    <mergeCell ref="A56:J56"/>
    <mergeCell ref="A58:J58"/>
    <mergeCell ref="A59:J59"/>
    <mergeCell ref="A49:J49"/>
    <mergeCell ref="A51:J51"/>
    <mergeCell ref="A52:J52"/>
    <mergeCell ref="A54:J54"/>
    <mergeCell ref="A42:J42"/>
    <mergeCell ref="A43:J43"/>
    <mergeCell ref="A44:J44"/>
    <mergeCell ref="A45:J45"/>
    <mergeCell ref="A46:J46"/>
    <mergeCell ref="A53:J53"/>
    <mergeCell ref="A48:J48"/>
    <mergeCell ref="A50:J50"/>
  </mergeCells>
  <pageMargins left="0.43307086614173229" right="3.937007874015748E-2" top="0.35433070866141736" bottom="0.35433070866141736" header="0.31496062992125984" footer="0.31496062992125984"/>
  <pageSetup paperSize="9" fitToHeight="0" orientation="portrait" horizontalDpi="300" r:id="rId1"/>
  <rowBreaks count="3" manualBreakCount="3">
    <brk id="24" max="16383" man="1"/>
    <brk id="32" max="16383" man="1"/>
    <brk id="49"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C46"/>
  <sheetViews>
    <sheetView view="pageBreakPreview" zoomScale="70" zoomScaleSheetLayoutView="70" workbookViewId="0">
      <selection activeCell="E7" sqref="E7"/>
    </sheetView>
  </sheetViews>
  <sheetFormatPr defaultRowHeight="15" x14ac:dyDescent="0.25"/>
  <cols>
    <col min="1" max="1" width="30.28515625" style="138" customWidth="1"/>
    <col min="2" max="2" width="93.28515625" style="120" customWidth="1"/>
    <col min="3" max="3" width="22.5703125" style="120" customWidth="1"/>
    <col min="4" max="6" width="9.140625" style="120" customWidth="1"/>
    <col min="7"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3" x14ac:dyDescent="0.25">
      <c r="A1" s="111"/>
      <c r="B1" s="112"/>
      <c r="C1" s="113" t="s">
        <v>198</v>
      </c>
    </row>
    <row r="2" spans="1:3" x14ac:dyDescent="0.25">
      <c r="A2" s="111"/>
      <c r="B2" s="112"/>
      <c r="C2" s="113" t="s">
        <v>414</v>
      </c>
    </row>
    <row r="3" spans="1:3" x14ac:dyDescent="0.25">
      <c r="A3" s="111"/>
      <c r="B3" s="112"/>
      <c r="C3" s="113" t="s">
        <v>415</v>
      </c>
    </row>
    <row r="4" spans="1:3" x14ac:dyDescent="0.25">
      <c r="A4" s="111"/>
      <c r="B4" s="112"/>
      <c r="C4" s="137" t="s">
        <v>416</v>
      </c>
    </row>
    <row r="5" spans="1:3" x14ac:dyDescent="0.25">
      <c r="A5" s="111"/>
      <c r="B5" s="112"/>
      <c r="C5" s="113" t="s">
        <v>447</v>
      </c>
    </row>
    <row r="6" spans="1:3" x14ac:dyDescent="0.25">
      <c r="C6" s="139"/>
    </row>
    <row r="7" spans="1:3" x14ac:dyDescent="0.25">
      <c r="C7" s="140"/>
    </row>
    <row r="9" spans="1:3" ht="20.25" customHeight="1" x14ac:dyDescent="0.3">
      <c r="A9" s="250" t="s">
        <v>365</v>
      </c>
      <c r="B9" s="250"/>
      <c r="C9" s="250"/>
    </row>
    <row r="10" spans="1:3" ht="20.25" x14ac:dyDescent="0.3">
      <c r="A10" s="250"/>
      <c r="B10" s="250"/>
      <c r="C10" s="250"/>
    </row>
    <row r="11" spans="1:3" ht="15.75" x14ac:dyDescent="0.25">
      <c r="C11" s="141" t="s">
        <v>171</v>
      </c>
    </row>
    <row r="12" spans="1:3" ht="64.5" customHeight="1" x14ac:dyDescent="0.25">
      <c r="A12" s="142" t="s">
        <v>172</v>
      </c>
      <c r="B12" s="142" t="s">
        <v>173</v>
      </c>
      <c r="C12" s="143" t="s">
        <v>174</v>
      </c>
    </row>
    <row r="13" spans="1:3" ht="18.75" x14ac:dyDescent="0.25">
      <c r="A13" s="143">
        <v>1</v>
      </c>
      <c r="B13" s="143">
        <v>2</v>
      </c>
      <c r="C13" s="143">
        <v>3</v>
      </c>
    </row>
    <row r="14" spans="1:3" ht="18.75" x14ac:dyDescent="0.25">
      <c r="A14" s="143" t="s">
        <v>175</v>
      </c>
      <c r="B14" s="144" t="s">
        <v>176</v>
      </c>
      <c r="C14" s="145">
        <f>2472.8+22.45843</f>
        <v>2495.2584300000003</v>
      </c>
    </row>
    <row r="15" spans="1:3" ht="18.75" x14ac:dyDescent="0.25">
      <c r="A15" s="251" t="s">
        <v>177</v>
      </c>
      <c r="B15" s="251"/>
      <c r="C15" s="145">
        <f>2472.8+22.45843</f>
        <v>2495.2584300000003</v>
      </c>
    </row>
    <row r="16" spans="1:3" ht="217.9" customHeight="1" x14ac:dyDescent="0.25">
      <c r="A16" s="146" t="s">
        <v>79</v>
      </c>
      <c r="B16" s="119" t="str">
        <f>'Выбор поселения'!CZ11</f>
        <v>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v>
      </c>
      <c r="C16" s="147">
        <v>300</v>
      </c>
    </row>
    <row r="17" spans="1:3" ht="177" hidden="1" customHeight="1" x14ac:dyDescent="0.25">
      <c r="A17" s="146" t="s">
        <v>80</v>
      </c>
      <c r="B17" s="119" t="str">
        <f>'Выбор поселения'!CZ12</f>
        <v>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7" s="147">
        <v>0</v>
      </c>
    </row>
    <row r="18" spans="1:3" ht="136.15" customHeight="1" x14ac:dyDescent="0.25">
      <c r="A18" s="146" t="s">
        <v>81</v>
      </c>
      <c r="B18" s="119" t="str">
        <f>'Выбор поселения'!CZ13</f>
        <v>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8" s="147">
        <v>22.2</v>
      </c>
    </row>
    <row r="19" spans="1:3" ht="408.6" hidden="1" customHeight="1" x14ac:dyDescent="0.25">
      <c r="A19" s="146" t="str">
        <f>'Выбор поселения'!DA99</f>
        <v>1 01 02080 01 0000 110</v>
      </c>
      <c r="B19" s="119" t="str">
        <f>'Выбор поселения'!CZ99</f>
        <v>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v>
      </c>
      <c r="C19" s="147">
        <v>0</v>
      </c>
    </row>
    <row r="20" spans="1:3" ht="112.5" hidden="1" x14ac:dyDescent="0.25">
      <c r="A20" s="146" t="str">
        <f>'Выбор поселения'!DA100</f>
        <v>1 01 02130 01 0000 110</v>
      </c>
      <c r="B20" s="119" t="str">
        <f>'Выбор поселения'!CZ100</f>
        <v>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20" s="147">
        <v>0</v>
      </c>
    </row>
    <row r="21" spans="1:3" ht="37.5" x14ac:dyDescent="0.25">
      <c r="A21" s="148" t="s">
        <v>82</v>
      </c>
      <c r="B21" s="119" t="s">
        <v>92</v>
      </c>
      <c r="C21" s="147">
        <v>600</v>
      </c>
    </row>
    <row r="22" spans="1:3" ht="75" x14ac:dyDescent="0.25">
      <c r="A22" s="146" t="s">
        <v>83</v>
      </c>
      <c r="B22" s="119" t="s">
        <v>93</v>
      </c>
      <c r="C22" s="147">
        <v>0.6</v>
      </c>
    </row>
    <row r="23" spans="1:3" ht="18.75" x14ac:dyDescent="0.25">
      <c r="A23" s="148" t="s">
        <v>84</v>
      </c>
      <c r="B23" s="119" t="s">
        <v>94</v>
      </c>
      <c r="C23" s="147">
        <v>100</v>
      </c>
    </row>
    <row r="24" spans="1:3" ht="56.25" x14ac:dyDescent="0.25">
      <c r="A24" s="148" t="s">
        <v>85</v>
      </c>
      <c r="B24" s="119" t="s">
        <v>95</v>
      </c>
      <c r="C24" s="147">
        <v>800</v>
      </c>
    </row>
    <row r="25" spans="1:3" ht="37.5" x14ac:dyDescent="0.25">
      <c r="A25" s="148" t="s">
        <v>86</v>
      </c>
      <c r="B25" s="119" t="s">
        <v>96</v>
      </c>
      <c r="C25" s="147">
        <v>50</v>
      </c>
    </row>
    <row r="26" spans="1:3" ht="37.5" x14ac:dyDescent="0.25">
      <c r="A26" s="148" t="s">
        <v>87</v>
      </c>
      <c r="B26" s="119" t="s">
        <v>97</v>
      </c>
      <c r="C26" s="147">
        <f>600+22.45843</f>
        <v>622.45843000000002</v>
      </c>
    </row>
    <row r="27" spans="1:3" ht="18.75" hidden="1" x14ac:dyDescent="0.25">
      <c r="A27" s="252" t="s">
        <v>178</v>
      </c>
      <c r="B27" s="252"/>
      <c r="C27" s="145">
        <v>0</v>
      </c>
    </row>
    <row r="28" spans="1:3" ht="75" hidden="1" x14ac:dyDescent="0.25">
      <c r="A28" s="148" t="s">
        <v>88</v>
      </c>
      <c r="B28" s="119" t="s">
        <v>98</v>
      </c>
      <c r="C28" s="147">
        <v>0</v>
      </c>
    </row>
    <row r="29" spans="1:3" ht="18.75" x14ac:dyDescent="0.25">
      <c r="A29" s="143" t="s">
        <v>179</v>
      </c>
      <c r="B29" s="144" t="s">
        <v>180</v>
      </c>
      <c r="C29" s="145">
        <v>14954.13452402212</v>
      </c>
    </row>
    <row r="30" spans="1:3" ht="37.5" x14ac:dyDescent="0.25">
      <c r="A30" s="149" t="s">
        <v>181</v>
      </c>
      <c r="B30" s="150" t="s">
        <v>182</v>
      </c>
      <c r="C30" s="147">
        <v>14954.13452402212</v>
      </c>
    </row>
    <row r="31" spans="1:3" ht="18.75" x14ac:dyDescent="0.25">
      <c r="A31" s="148" t="s">
        <v>183</v>
      </c>
      <c r="B31" s="119" t="s">
        <v>184</v>
      </c>
      <c r="C31" s="147">
        <v>6579.5297540221209</v>
      </c>
    </row>
    <row r="32" spans="1:3" ht="18.75" x14ac:dyDescent="0.25">
      <c r="A32" s="148" t="s">
        <v>185</v>
      </c>
      <c r="B32" s="119" t="s">
        <v>186</v>
      </c>
      <c r="C32" s="147">
        <v>6579.5297540221209</v>
      </c>
    </row>
    <row r="33" spans="1:3" ht="37.5" x14ac:dyDescent="0.25">
      <c r="A33" s="148" t="s">
        <v>187</v>
      </c>
      <c r="B33" s="119" t="s">
        <v>188</v>
      </c>
      <c r="C33" s="147">
        <v>6579.5297540221209</v>
      </c>
    </row>
    <row r="34" spans="1:3" ht="18.75" x14ac:dyDescent="0.25">
      <c r="A34" s="148" t="s">
        <v>391</v>
      </c>
      <c r="B34" s="119" t="s">
        <v>392</v>
      </c>
      <c r="C34" s="147">
        <v>4837.6687700000002</v>
      </c>
    </row>
    <row r="35" spans="1:3" ht="37.5" x14ac:dyDescent="0.25">
      <c r="A35" s="148" t="s">
        <v>393</v>
      </c>
      <c r="B35" s="119" t="s">
        <v>394</v>
      </c>
      <c r="C35" s="147">
        <v>4837.6687700000002</v>
      </c>
    </row>
    <row r="36" spans="1:3" ht="18.75" x14ac:dyDescent="0.25">
      <c r="A36" s="148" t="s">
        <v>189</v>
      </c>
      <c r="B36" s="119" t="s">
        <v>190</v>
      </c>
      <c r="C36" s="147">
        <v>536.93600000000004</v>
      </c>
    </row>
    <row r="37" spans="1:3" ht="37.5" x14ac:dyDescent="0.25">
      <c r="A37" s="148" t="s">
        <v>191</v>
      </c>
      <c r="B37" s="119" t="s">
        <v>192</v>
      </c>
      <c r="C37" s="147">
        <v>536.93600000000004</v>
      </c>
    </row>
    <row r="38" spans="1:3" ht="18.75" x14ac:dyDescent="0.25">
      <c r="A38" s="148" t="s">
        <v>398</v>
      </c>
      <c r="B38" s="119" t="s">
        <v>399</v>
      </c>
      <c r="C38" s="147">
        <v>3000</v>
      </c>
    </row>
    <row r="39" spans="1:3" ht="18.75" x14ac:dyDescent="0.25">
      <c r="A39" s="253" t="s">
        <v>193</v>
      </c>
      <c r="B39" s="253"/>
      <c r="C39" s="145">
        <f>17426.9345240221+22.45843</f>
        <v>17449.3929540221</v>
      </c>
    </row>
    <row r="46" spans="1:3" x14ac:dyDescent="0.25">
      <c r="C46" s="234"/>
    </row>
  </sheetData>
  <sheetProtection sort="0" autoFilter="0"/>
  <autoFilter ref="A13:C39">
    <filterColumn colId="2">
      <filters>
        <filter val="0,600"/>
        <filter val="100,000"/>
        <filter val="14 954,135"/>
        <filter val="17 426,935"/>
        <filter val="2 472,800"/>
        <filter val="22,200"/>
        <filter val="3 000,000"/>
        <filter val="300,000"/>
        <filter val="4 837,669"/>
        <filter val="50,000"/>
        <filter val="536,936"/>
        <filter val="6 579,530"/>
        <filter val="600,000"/>
        <filter val="800,000"/>
      </filters>
    </filterColumn>
  </autoFilter>
  <mergeCells count="5">
    <mergeCell ref="A9:C9"/>
    <mergeCell ref="A10:C10"/>
    <mergeCell ref="A15:B15"/>
    <mergeCell ref="A27:B27"/>
    <mergeCell ref="A39:B39"/>
  </mergeCells>
  <pageMargins left="0.70866141732283472" right="0.70866141732283472" top="0.74803149606299213" bottom="0.74803149606299213" header="0.31496062992125984" footer="0.31496062992125984"/>
  <pageSetup paperSize="9" scale="5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5"/>
  <sheetViews>
    <sheetView view="pageBreakPreview" zoomScale="70" zoomScaleSheetLayoutView="70" workbookViewId="0">
      <selection activeCell="I10" sqref="I10"/>
    </sheetView>
  </sheetViews>
  <sheetFormatPr defaultRowHeight="15" x14ac:dyDescent="0.25"/>
  <cols>
    <col min="1" max="1" width="125.5703125" style="138" customWidth="1"/>
    <col min="2" max="2" width="12" style="120" customWidth="1"/>
    <col min="3" max="3" width="10.7109375" style="120" customWidth="1"/>
    <col min="4" max="4" width="14.42578125" style="120" customWidth="1"/>
    <col min="5" max="5" width="16.85546875" style="120" customWidth="1"/>
    <col min="6" max="6" width="12" style="120" bestFit="1" customWidth="1"/>
    <col min="7" max="7" width="15.85546875" style="120" customWidth="1"/>
    <col min="8"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7" x14ac:dyDescent="0.25">
      <c r="A1" s="111"/>
      <c r="B1" s="112"/>
      <c r="G1" s="113" t="s">
        <v>170</v>
      </c>
    </row>
    <row r="2" spans="1:7" x14ac:dyDescent="0.25">
      <c r="A2" s="111"/>
      <c r="B2" s="112"/>
      <c r="G2" s="113" t="str">
        <f>CONCATENATE("к решению Совета депутатов ",'Выбор поселения'!CY8," сельского поселения")</f>
        <v>к решению Совета депутатов Братского сельского поселения</v>
      </c>
    </row>
    <row r="3" spans="1:7" x14ac:dyDescent="0.25">
      <c r="A3" s="111"/>
      <c r="B3" s="112"/>
      <c r="G3" s="113" t="str">
        <f>CONCATENATE("О бюджете ",'Выбор поселения'!CY8," сельского поселения на 2026 год")</f>
        <v>О бюджете Братского сельского поселения на 2026 год</v>
      </c>
    </row>
    <row r="4" spans="1:7" x14ac:dyDescent="0.25">
      <c r="A4" s="111"/>
      <c r="B4" s="112"/>
      <c r="G4" s="137" t="str">
        <f>CONCATENATE("от « ",'Выбор поселения'!CY7," » декабря 2025 г. № ",'Выбор поселения'!CY6)</f>
        <v>от « 30 » декабря 2025 г. № 15</v>
      </c>
    </row>
    <row r="5" spans="1:7" x14ac:dyDescent="0.25">
      <c r="A5" s="111"/>
      <c r="B5" s="112"/>
      <c r="C5" s="113"/>
      <c r="E5" s="120" t="s">
        <v>447</v>
      </c>
    </row>
    <row r="6" spans="1:7" x14ac:dyDescent="0.25">
      <c r="C6" s="139"/>
    </row>
    <row r="7" spans="1:7" ht="20.25" customHeight="1" x14ac:dyDescent="0.3">
      <c r="A7" s="250" t="s">
        <v>364</v>
      </c>
      <c r="B7" s="250"/>
      <c r="C7" s="250"/>
      <c r="D7" s="250"/>
      <c r="E7" s="250"/>
      <c r="F7" s="250"/>
      <c r="G7" s="250"/>
    </row>
    <row r="8" spans="1:7" ht="20.25" x14ac:dyDescent="0.3">
      <c r="A8" s="250"/>
      <c r="B8" s="250"/>
      <c r="C8" s="250"/>
    </row>
    <row r="9" spans="1:7" ht="31.5" x14ac:dyDescent="0.25">
      <c r="G9" s="141" t="s">
        <v>171</v>
      </c>
    </row>
    <row r="10" spans="1:7" ht="51.75" customHeight="1" x14ac:dyDescent="0.25">
      <c r="A10" s="142" t="s">
        <v>200</v>
      </c>
      <c r="B10" s="142" t="s">
        <v>201</v>
      </c>
      <c r="C10" s="142" t="s">
        <v>202</v>
      </c>
      <c r="D10" s="142" t="s">
        <v>203</v>
      </c>
      <c r="E10" s="142" t="s">
        <v>204</v>
      </c>
      <c r="F10" s="142" t="s">
        <v>205</v>
      </c>
      <c r="G10" s="151" t="s">
        <v>206</v>
      </c>
    </row>
    <row r="11" spans="1:7" ht="18.75" x14ac:dyDescent="0.25">
      <c r="A11" s="151">
        <v>1</v>
      </c>
      <c r="B11" s="151">
        <v>2</v>
      </c>
      <c r="C11" s="151">
        <v>3</v>
      </c>
      <c r="D11" s="151">
        <v>4</v>
      </c>
      <c r="E11" s="151">
        <v>5</v>
      </c>
      <c r="F11" s="151">
        <v>6</v>
      </c>
      <c r="G11" s="151">
        <v>7</v>
      </c>
    </row>
    <row r="12" spans="1:7" s="153" customFormat="1" ht="18.75" x14ac:dyDescent="0.3">
      <c r="A12" s="152" t="s">
        <v>400</v>
      </c>
      <c r="B12" s="121" t="s">
        <v>401</v>
      </c>
      <c r="C12" s="122"/>
      <c r="D12" s="122"/>
      <c r="E12" s="122"/>
      <c r="F12" s="122"/>
      <c r="G12" s="147">
        <v>17426.934519999999</v>
      </c>
    </row>
    <row r="13" spans="1:7" s="153" customFormat="1" ht="18.75" x14ac:dyDescent="0.3">
      <c r="A13" s="154" t="s">
        <v>243</v>
      </c>
      <c r="B13" s="121" t="s">
        <v>401</v>
      </c>
      <c r="C13" s="122" t="s">
        <v>207</v>
      </c>
      <c r="D13" s="122"/>
      <c r="E13" s="122"/>
      <c r="F13" s="122"/>
      <c r="G13" s="147">
        <v>5928.1006799999996</v>
      </c>
    </row>
    <row r="14" spans="1:7" s="153" customFormat="1" ht="37.5" x14ac:dyDescent="0.3">
      <c r="A14" s="154" t="s">
        <v>402</v>
      </c>
      <c r="B14" s="121" t="s">
        <v>401</v>
      </c>
      <c r="C14" s="122" t="s">
        <v>207</v>
      </c>
      <c r="D14" s="122" t="s">
        <v>208</v>
      </c>
      <c r="E14" s="122"/>
      <c r="F14" s="122"/>
      <c r="G14" s="147">
        <v>5923.1006799999996</v>
      </c>
    </row>
    <row r="15" spans="1:7" s="153" customFormat="1" ht="18.75" x14ac:dyDescent="0.3">
      <c r="A15" s="154" t="s">
        <v>209</v>
      </c>
      <c r="B15" s="121" t="s">
        <v>401</v>
      </c>
      <c r="C15" s="122" t="s">
        <v>207</v>
      </c>
      <c r="D15" s="122" t="s">
        <v>208</v>
      </c>
      <c r="E15" s="122" t="s">
        <v>244</v>
      </c>
      <c r="F15" s="122"/>
      <c r="G15" s="147">
        <v>5923.1006799999996</v>
      </c>
    </row>
    <row r="16" spans="1:7" s="153" customFormat="1" ht="18.75" x14ac:dyDescent="0.3">
      <c r="A16" s="154" t="s">
        <v>403</v>
      </c>
      <c r="B16" s="121" t="s">
        <v>401</v>
      </c>
      <c r="C16" s="122" t="s">
        <v>207</v>
      </c>
      <c r="D16" s="122" t="s">
        <v>208</v>
      </c>
      <c r="E16" s="122" t="s">
        <v>245</v>
      </c>
      <c r="F16" s="122"/>
      <c r="G16" s="147">
        <v>4655.8999999999996</v>
      </c>
    </row>
    <row r="17" spans="1:7" ht="18.75" x14ac:dyDescent="0.3">
      <c r="A17" s="154" t="s">
        <v>246</v>
      </c>
      <c r="B17" s="121" t="s">
        <v>401</v>
      </c>
      <c r="C17" s="122" t="s">
        <v>207</v>
      </c>
      <c r="D17" s="122" t="s">
        <v>208</v>
      </c>
      <c r="E17" s="122" t="s">
        <v>245</v>
      </c>
      <c r="F17" s="122" t="s">
        <v>210</v>
      </c>
      <c r="G17" s="187">
        <v>3575.96</v>
      </c>
    </row>
    <row r="18" spans="1:7" ht="37.5" x14ac:dyDescent="0.3">
      <c r="A18" s="154" t="s">
        <v>247</v>
      </c>
      <c r="B18" s="121" t="s">
        <v>401</v>
      </c>
      <c r="C18" s="122" t="s">
        <v>207</v>
      </c>
      <c r="D18" s="122" t="s">
        <v>208</v>
      </c>
      <c r="E18" s="122" t="s">
        <v>245</v>
      </c>
      <c r="F18" s="122" t="s">
        <v>211</v>
      </c>
      <c r="G18" s="187">
        <v>1079.94</v>
      </c>
    </row>
    <row r="19" spans="1:7" s="153" customFormat="1" ht="18.75" x14ac:dyDescent="0.3">
      <c r="A19" s="154" t="s">
        <v>404</v>
      </c>
      <c r="B19" s="121" t="s">
        <v>401</v>
      </c>
      <c r="C19" s="122" t="s">
        <v>207</v>
      </c>
      <c r="D19" s="122" t="s">
        <v>208</v>
      </c>
      <c r="E19" s="122" t="s">
        <v>248</v>
      </c>
      <c r="F19" s="122"/>
      <c r="G19" s="147">
        <v>59.170999999999999</v>
      </c>
    </row>
    <row r="20" spans="1:7" ht="18.75" x14ac:dyDescent="0.3">
      <c r="A20" s="154" t="s">
        <v>249</v>
      </c>
      <c r="B20" s="121" t="s">
        <v>401</v>
      </c>
      <c r="C20" s="122" t="s">
        <v>207</v>
      </c>
      <c r="D20" s="122" t="s">
        <v>208</v>
      </c>
      <c r="E20" s="122" t="s">
        <v>248</v>
      </c>
      <c r="F20" s="122" t="s">
        <v>214</v>
      </c>
      <c r="G20" s="187">
        <v>59.170999999999999</v>
      </c>
    </row>
    <row r="21" spans="1:7" s="153" customFormat="1" ht="18.75" x14ac:dyDescent="0.3">
      <c r="A21" s="154" t="s">
        <v>405</v>
      </c>
      <c r="B21" s="121" t="s">
        <v>401</v>
      </c>
      <c r="C21" s="122" t="s">
        <v>207</v>
      </c>
      <c r="D21" s="122" t="s">
        <v>208</v>
      </c>
      <c r="E21" s="122" t="s">
        <v>250</v>
      </c>
      <c r="F21" s="122"/>
      <c r="G21" s="147">
        <v>305.79199999999997</v>
      </c>
    </row>
    <row r="22" spans="1:7" ht="18.75" x14ac:dyDescent="0.3">
      <c r="A22" s="154" t="s">
        <v>215</v>
      </c>
      <c r="B22" s="121" t="s">
        <v>401</v>
      </c>
      <c r="C22" s="122" t="s">
        <v>207</v>
      </c>
      <c r="D22" s="122" t="s">
        <v>208</v>
      </c>
      <c r="E22" s="122" t="s">
        <v>250</v>
      </c>
      <c r="F22" s="122" t="s">
        <v>216</v>
      </c>
      <c r="G22" s="187">
        <v>305.79199999999997</v>
      </c>
    </row>
    <row r="23" spans="1:7" s="153" customFormat="1" ht="18.75" x14ac:dyDescent="0.3">
      <c r="A23" s="154" t="s">
        <v>406</v>
      </c>
      <c r="B23" s="121" t="s">
        <v>401</v>
      </c>
      <c r="C23" s="122" t="s">
        <v>207</v>
      </c>
      <c r="D23" s="122" t="s">
        <v>208</v>
      </c>
      <c r="E23" s="122" t="s">
        <v>251</v>
      </c>
      <c r="F23" s="122"/>
      <c r="G23" s="147">
        <v>108</v>
      </c>
    </row>
    <row r="24" spans="1:7" ht="18.75" x14ac:dyDescent="0.3">
      <c r="A24" s="154" t="s">
        <v>212</v>
      </c>
      <c r="B24" s="121" t="s">
        <v>401</v>
      </c>
      <c r="C24" s="122" t="s">
        <v>207</v>
      </c>
      <c r="D24" s="122" t="s">
        <v>208</v>
      </c>
      <c r="E24" s="122" t="s">
        <v>251</v>
      </c>
      <c r="F24" s="122" t="s">
        <v>213</v>
      </c>
      <c r="G24" s="187">
        <v>108</v>
      </c>
    </row>
    <row r="25" spans="1:7" ht="18.75" x14ac:dyDescent="0.3">
      <c r="A25" s="154" t="s">
        <v>407</v>
      </c>
      <c r="B25" s="121" t="s">
        <v>401</v>
      </c>
      <c r="C25" s="122" t="s">
        <v>207</v>
      </c>
      <c r="D25" s="122" t="s">
        <v>208</v>
      </c>
      <c r="E25" s="122" t="s">
        <v>252</v>
      </c>
      <c r="F25" s="122"/>
      <c r="G25" s="187">
        <v>15</v>
      </c>
    </row>
    <row r="26" spans="1:7" s="153" customFormat="1" ht="18.75" x14ac:dyDescent="0.3">
      <c r="A26" s="154" t="s">
        <v>215</v>
      </c>
      <c r="B26" s="121" t="s">
        <v>401</v>
      </c>
      <c r="C26" s="122" t="s">
        <v>207</v>
      </c>
      <c r="D26" s="122" t="s">
        <v>208</v>
      </c>
      <c r="E26" s="122" t="s">
        <v>252</v>
      </c>
      <c r="F26" s="122" t="s">
        <v>216</v>
      </c>
      <c r="G26" s="147">
        <v>15</v>
      </c>
    </row>
    <row r="27" spans="1:7" ht="18.75" x14ac:dyDescent="0.3">
      <c r="A27" s="154" t="s">
        <v>141</v>
      </c>
      <c r="B27" s="121" t="s">
        <v>401</v>
      </c>
      <c r="C27" s="122" t="s">
        <v>207</v>
      </c>
      <c r="D27" s="122" t="s">
        <v>208</v>
      </c>
      <c r="E27" s="122" t="s">
        <v>253</v>
      </c>
      <c r="F27" s="122"/>
      <c r="G27" s="187">
        <v>215.55068</v>
      </c>
    </row>
    <row r="28" spans="1:7" s="153" customFormat="1" ht="18.75" x14ac:dyDescent="0.3">
      <c r="A28" s="154" t="s">
        <v>254</v>
      </c>
      <c r="B28" s="121" t="s">
        <v>401</v>
      </c>
      <c r="C28" s="122" t="s">
        <v>207</v>
      </c>
      <c r="D28" s="122" t="s">
        <v>208</v>
      </c>
      <c r="E28" s="122" t="s">
        <v>253</v>
      </c>
      <c r="F28" s="122" t="s">
        <v>255</v>
      </c>
      <c r="G28" s="147">
        <v>215.55068</v>
      </c>
    </row>
    <row r="29" spans="1:7" ht="18.75" x14ac:dyDescent="0.3">
      <c r="A29" s="154" t="s">
        <v>408</v>
      </c>
      <c r="B29" s="121" t="s">
        <v>401</v>
      </c>
      <c r="C29" s="122" t="s">
        <v>207</v>
      </c>
      <c r="D29" s="122" t="s">
        <v>208</v>
      </c>
      <c r="E29" s="122" t="s">
        <v>256</v>
      </c>
      <c r="F29" s="122"/>
      <c r="G29" s="187">
        <v>563.68700000000001</v>
      </c>
    </row>
    <row r="30" spans="1:7" s="153" customFormat="1" ht="18.75" x14ac:dyDescent="0.3">
      <c r="A30" s="154" t="s">
        <v>249</v>
      </c>
      <c r="B30" s="121" t="s">
        <v>401</v>
      </c>
      <c r="C30" s="122" t="s">
        <v>207</v>
      </c>
      <c r="D30" s="122" t="s">
        <v>208</v>
      </c>
      <c r="E30" s="122" t="s">
        <v>256</v>
      </c>
      <c r="F30" s="122" t="s">
        <v>214</v>
      </c>
      <c r="G30" s="147">
        <v>250</v>
      </c>
    </row>
    <row r="31" spans="1:7" ht="18.75" x14ac:dyDescent="0.3">
      <c r="A31" s="154" t="s">
        <v>215</v>
      </c>
      <c r="B31" s="121" t="s">
        <v>401</v>
      </c>
      <c r="C31" s="122" t="s">
        <v>207</v>
      </c>
      <c r="D31" s="122" t="s">
        <v>208</v>
      </c>
      <c r="E31" s="122" t="s">
        <v>256</v>
      </c>
      <c r="F31" s="122" t="s">
        <v>216</v>
      </c>
      <c r="G31" s="187">
        <v>313.68700000000001</v>
      </c>
    </row>
    <row r="32" spans="1:7" s="153" customFormat="1" ht="18.75" x14ac:dyDescent="0.3">
      <c r="A32" s="154" t="s">
        <v>144</v>
      </c>
      <c r="B32" s="121" t="s">
        <v>401</v>
      </c>
      <c r="C32" s="122" t="s">
        <v>207</v>
      </c>
      <c r="D32" s="122" t="s">
        <v>217</v>
      </c>
      <c r="E32" s="122"/>
      <c r="F32" s="122"/>
      <c r="G32" s="147">
        <v>5</v>
      </c>
    </row>
    <row r="33" spans="1:7" ht="18.75" x14ac:dyDescent="0.3">
      <c r="A33" s="154" t="s">
        <v>144</v>
      </c>
      <c r="B33" s="121" t="s">
        <v>401</v>
      </c>
      <c r="C33" s="122" t="s">
        <v>207</v>
      </c>
      <c r="D33" s="122" t="s">
        <v>217</v>
      </c>
      <c r="E33" s="122" t="s">
        <v>257</v>
      </c>
      <c r="F33" s="122"/>
      <c r="G33" s="187">
        <v>5</v>
      </c>
    </row>
    <row r="34" spans="1:7" ht="18.75" x14ac:dyDescent="0.3">
      <c r="A34" s="154" t="s">
        <v>258</v>
      </c>
      <c r="B34" s="121" t="s">
        <v>401</v>
      </c>
      <c r="C34" s="122" t="s">
        <v>207</v>
      </c>
      <c r="D34" s="122" t="s">
        <v>217</v>
      </c>
      <c r="E34" s="122" t="s">
        <v>259</v>
      </c>
      <c r="F34" s="122"/>
      <c r="G34" s="187">
        <v>5</v>
      </c>
    </row>
    <row r="35" spans="1:7" ht="18.75" x14ac:dyDescent="0.3">
      <c r="A35" s="154" t="s">
        <v>218</v>
      </c>
      <c r="B35" s="121" t="s">
        <v>401</v>
      </c>
      <c r="C35" s="122" t="s">
        <v>207</v>
      </c>
      <c r="D35" s="122" t="s">
        <v>217</v>
      </c>
      <c r="E35" s="122" t="s">
        <v>259</v>
      </c>
      <c r="F35" s="122" t="s">
        <v>219</v>
      </c>
      <c r="G35" s="187">
        <v>5</v>
      </c>
    </row>
    <row r="36" spans="1:7" ht="18.75" x14ac:dyDescent="0.3">
      <c r="A36" s="154" t="s">
        <v>260</v>
      </c>
      <c r="B36" s="121" t="s">
        <v>401</v>
      </c>
      <c r="C36" s="122" t="s">
        <v>220</v>
      </c>
      <c r="D36" s="122"/>
      <c r="E36" s="122"/>
      <c r="F36" s="122"/>
      <c r="G36" s="187">
        <v>536.93600000000004</v>
      </c>
    </row>
    <row r="37" spans="1:7" s="153" customFormat="1" ht="18.75" x14ac:dyDescent="0.3">
      <c r="A37" s="154" t="s">
        <v>221</v>
      </c>
      <c r="B37" s="121" t="s">
        <v>401</v>
      </c>
      <c r="C37" s="122" t="s">
        <v>220</v>
      </c>
      <c r="D37" s="122" t="s">
        <v>222</v>
      </c>
      <c r="E37" s="122"/>
      <c r="F37" s="122"/>
      <c r="G37" s="147">
        <v>536.93600000000004</v>
      </c>
    </row>
    <row r="38" spans="1:7" s="153" customFormat="1" ht="18.75" x14ac:dyDescent="0.3">
      <c r="A38" s="154" t="s">
        <v>223</v>
      </c>
      <c r="B38" s="121" t="s">
        <v>401</v>
      </c>
      <c r="C38" s="122" t="s">
        <v>220</v>
      </c>
      <c r="D38" s="122" t="s">
        <v>222</v>
      </c>
      <c r="E38" s="122" t="s">
        <v>261</v>
      </c>
      <c r="F38" s="122"/>
      <c r="G38" s="147">
        <v>536.93600000000004</v>
      </c>
    </row>
    <row r="39" spans="1:7" s="153" customFormat="1" ht="18.75" x14ac:dyDescent="0.3">
      <c r="A39" s="154" t="s">
        <v>262</v>
      </c>
      <c r="B39" s="121" t="s">
        <v>401</v>
      </c>
      <c r="C39" s="122" t="s">
        <v>220</v>
      </c>
      <c r="D39" s="122" t="s">
        <v>222</v>
      </c>
      <c r="E39" s="122" t="s">
        <v>263</v>
      </c>
      <c r="F39" s="122"/>
      <c r="G39" s="147">
        <v>423.3</v>
      </c>
    </row>
    <row r="40" spans="1:7" ht="18.75" x14ac:dyDescent="0.3">
      <c r="A40" s="154" t="s">
        <v>246</v>
      </c>
      <c r="B40" s="121" t="s">
        <v>401</v>
      </c>
      <c r="C40" s="122" t="s">
        <v>220</v>
      </c>
      <c r="D40" s="122" t="s">
        <v>222</v>
      </c>
      <c r="E40" s="122" t="s">
        <v>263</v>
      </c>
      <c r="F40" s="122" t="s">
        <v>210</v>
      </c>
      <c r="G40" s="187">
        <v>325.11500000000001</v>
      </c>
    </row>
    <row r="41" spans="1:7" s="153" customFormat="1" ht="37.5" x14ac:dyDescent="0.3">
      <c r="A41" s="154" t="s">
        <v>247</v>
      </c>
      <c r="B41" s="121" t="s">
        <v>401</v>
      </c>
      <c r="C41" s="122" t="s">
        <v>220</v>
      </c>
      <c r="D41" s="122" t="s">
        <v>222</v>
      </c>
      <c r="E41" s="122" t="s">
        <v>263</v>
      </c>
      <c r="F41" s="122" t="s">
        <v>211</v>
      </c>
      <c r="G41" s="147">
        <v>98.185000000000002</v>
      </c>
    </row>
    <row r="42" spans="1:7" s="153" customFormat="1" ht="18.75" x14ac:dyDescent="0.3">
      <c r="A42" s="154" t="s">
        <v>264</v>
      </c>
      <c r="B42" s="121" t="s">
        <v>401</v>
      </c>
      <c r="C42" s="122" t="s">
        <v>220</v>
      </c>
      <c r="D42" s="122" t="s">
        <v>222</v>
      </c>
      <c r="E42" s="122" t="s">
        <v>265</v>
      </c>
      <c r="F42" s="122"/>
      <c r="G42" s="147">
        <v>113.636</v>
      </c>
    </row>
    <row r="43" spans="1:7" s="153" customFormat="1" ht="18.75" x14ac:dyDescent="0.3">
      <c r="A43" s="154" t="s">
        <v>249</v>
      </c>
      <c r="B43" s="121" t="s">
        <v>401</v>
      </c>
      <c r="C43" s="122" t="s">
        <v>220</v>
      </c>
      <c r="D43" s="122" t="s">
        <v>222</v>
      </c>
      <c r="E43" s="122" t="s">
        <v>265</v>
      </c>
      <c r="F43" s="122" t="s">
        <v>214</v>
      </c>
      <c r="G43" s="147">
        <v>24.347000000000001</v>
      </c>
    </row>
    <row r="44" spans="1:7" s="153" customFormat="1" ht="18.75" x14ac:dyDescent="0.3">
      <c r="A44" s="154" t="s">
        <v>215</v>
      </c>
      <c r="B44" s="121" t="s">
        <v>401</v>
      </c>
      <c r="C44" s="122" t="s">
        <v>220</v>
      </c>
      <c r="D44" s="122" t="s">
        <v>222</v>
      </c>
      <c r="E44" s="122" t="s">
        <v>265</v>
      </c>
      <c r="F44" s="122" t="s">
        <v>216</v>
      </c>
      <c r="G44" s="147">
        <v>63.021000000000001</v>
      </c>
    </row>
    <row r="45" spans="1:7" ht="18.75" x14ac:dyDescent="0.3">
      <c r="A45" s="154" t="s">
        <v>212</v>
      </c>
      <c r="B45" s="121" t="s">
        <v>401</v>
      </c>
      <c r="C45" s="122" t="s">
        <v>220</v>
      </c>
      <c r="D45" s="122" t="s">
        <v>222</v>
      </c>
      <c r="E45" s="122" t="s">
        <v>265</v>
      </c>
      <c r="F45" s="122" t="s">
        <v>213</v>
      </c>
      <c r="G45" s="187">
        <v>26.268000000000001</v>
      </c>
    </row>
    <row r="46" spans="1:7" ht="18.75" x14ac:dyDescent="0.3">
      <c r="A46" s="154" t="s">
        <v>266</v>
      </c>
      <c r="B46" s="121" t="s">
        <v>401</v>
      </c>
      <c r="C46" s="122" t="s">
        <v>222</v>
      </c>
      <c r="D46" s="122"/>
      <c r="E46" s="122"/>
      <c r="F46" s="122"/>
      <c r="G46" s="187">
        <v>5</v>
      </c>
    </row>
    <row r="47" spans="1:7" s="153" customFormat="1" ht="37.5" x14ac:dyDescent="0.3">
      <c r="A47" s="154" t="s">
        <v>224</v>
      </c>
      <c r="B47" s="121" t="s">
        <v>401</v>
      </c>
      <c r="C47" s="122" t="s">
        <v>222</v>
      </c>
      <c r="D47" s="122" t="s">
        <v>225</v>
      </c>
      <c r="E47" s="122"/>
      <c r="F47" s="122"/>
      <c r="G47" s="147">
        <v>5</v>
      </c>
    </row>
    <row r="48" spans="1:7" ht="37.5" x14ac:dyDescent="0.3">
      <c r="A48" s="154" t="s">
        <v>409</v>
      </c>
      <c r="B48" s="121" t="s">
        <v>401</v>
      </c>
      <c r="C48" s="122" t="s">
        <v>222</v>
      </c>
      <c r="D48" s="122" t="s">
        <v>225</v>
      </c>
      <c r="E48" s="122" t="s">
        <v>410</v>
      </c>
      <c r="F48" s="122"/>
      <c r="G48" s="187">
        <v>5</v>
      </c>
    </row>
    <row r="49" spans="1:7" ht="18.75" x14ac:dyDescent="0.3">
      <c r="A49" s="154" t="s">
        <v>215</v>
      </c>
      <c r="B49" s="121" t="s">
        <v>401</v>
      </c>
      <c r="C49" s="122" t="s">
        <v>222</v>
      </c>
      <c r="D49" s="122" t="s">
        <v>225</v>
      </c>
      <c r="E49" s="122" t="s">
        <v>410</v>
      </c>
      <c r="F49" s="122" t="s">
        <v>216</v>
      </c>
      <c r="G49" s="187">
        <v>5</v>
      </c>
    </row>
    <row r="50" spans="1:7" ht="18.75" x14ac:dyDescent="0.3">
      <c r="A50" s="154" t="s">
        <v>267</v>
      </c>
      <c r="B50" s="121" t="s">
        <v>401</v>
      </c>
      <c r="C50" s="122" t="s">
        <v>226</v>
      </c>
      <c r="D50" s="122"/>
      <c r="E50" s="122"/>
      <c r="F50" s="122"/>
      <c r="G50" s="187">
        <v>8771.3157699999992</v>
      </c>
    </row>
    <row r="51" spans="1:7" s="153" customFormat="1" ht="18.75" x14ac:dyDescent="0.3">
      <c r="A51" s="154" t="s">
        <v>227</v>
      </c>
      <c r="B51" s="121" t="s">
        <v>401</v>
      </c>
      <c r="C51" s="122" t="s">
        <v>226</v>
      </c>
      <c r="D51" s="122" t="s">
        <v>222</v>
      </c>
      <c r="E51" s="122"/>
      <c r="F51" s="122"/>
      <c r="G51" s="147">
        <v>8771.3157699999992</v>
      </c>
    </row>
    <row r="52" spans="1:7" s="153" customFormat="1" ht="18.75" x14ac:dyDescent="0.3">
      <c r="A52" s="154" t="s">
        <v>227</v>
      </c>
      <c r="B52" s="121" t="s">
        <v>401</v>
      </c>
      <c r="C52" s="122" t="s">
        <v>226</v>
      </c>
      <c r="D52" s="122" t="s">
        <v>222</v>
      </c>
      <c r="E52" s="122" t="s">
        <v>268</v>
      </c>
      <c r="F52" s="122"/>
      <c r="G52" s="147">
        <v>8771.3157699999992</v>
      </c>
    </row>
    <row r="53" spans="1:7" s="153" customFormat="1" ht="18.75" x14ac:dyDescent="0.3">
      <c r="A53" s="154" t="s">
        <v>269</v>
      </c>
      <c r="B53" s="121" t="s">
        <v>401</v>
      </c>
      <c r="C53" s="122" t="s">
        <v>226</v>
      </c>
      <c r="D53" s="122" t="s">
        <v>222</v>
      </c>
      <c r="E53" s="122" t="s">
        <v>270</v>
      </c>
      <c r="F53" s="122"/>
      <c r="G53" s="147">
        <v>670.64700000000005</v>
      </c>
    </row>
    <row r="54" spans="1:7" ht="18.75" x14ac:dyDescent="0.3">
      <c r="A54" s="154" t="s">
        <v>212</v>
      </c>
      <c r="B54" s="121" t="s">
        <v>401</v>
      </c>
      <c r="C54" s="122" t="s">
        <v>226</v>
      </c>
      <c r="D54" s="122" t="s">
        <v>222</v>
      </c>
      <c r="E54" s="122" t="s">
        <v>270</v>
      </c>
      <c r="F54" s="122" t="s">
        <v>213</v>
      </c>
      <c r="G54" s="187">
        <f>670.647+179.935517142857</f>
        <v>850.58251714285711</v>
      </c>
    </row>
    <row r="55" spans="1:7" s="153" customFormat="1" ht="18.75" x14ac:dyDescent="0.3">
      <c r="A55" s="154" t="s">
        <v>411</v>
      </c>
      <c r="B55" s="121" t="s">
        <v>401</v>
      </c>
      <c r="C55" s="122" t="s">
        <v>226</v>
      </c>
      <c r="D55" s="122" t="s">
        <v>222</v>
      </c>
      <c r="E55" s="122" t="s">
        <v>271</v>
      </c>
      <c r="F55" s="122"/>
      <c r="G55" s="155">
        <v>3263</v>
      </c>
    </row>
    <row r="56" spans="1:7" s="153" customFormat="1" ht="18.75" x14ac:dyDescent="0.3">
      <c r="A56" s="154" t="s">
        <v>215</v>
      </c>
      <c r="B56" s="121" t="s">
        <v>401</v>
      </c>
      <c r="C56" s="122" t="s">
        <v>226</v>
      </c>
      <c r="D56" s="122" t="s">
        <v>222</v>
      </c>
      <c r="E56" s="122" t="s">
        <v>271</v>
      </c>
      <c r="F56" s="122" t="s">
        <v>216</v>
      </c>
      <c r="G56" s="155">
        <v>0</v>
      </c>
    </row>
    <row r="57" spans="1:7" s="153" customFormat="1" ht="18.75" x14ac:dyDescent="0.3">
      <c r="A57" s="154" t="s">
        <v>230</v>
      </c>
      <c r="B57" s="121" t="s">
        <v>401</v>
      </c>
      <c r="C57" s="122" t="s">
        <v>226</v>
      </c>
      <c r="D57" s="122" t="s">
        <v>222</v>
      </c>
      <c r="E57" s="122" t="s">
        <v>271</v>
      </c>
      <c r="F57" s="122" t="s">
        <v>231</v>
      </c>
      <c r="G57" s="155">
        <v>3263</v>
      </c>
    </row>
    <row r="58" spans="1:7" s="153" customFormat="1" ht="37.5" x14ac:dyDescent="0.3">
      <c r="A58" s="154" t="s">
        <v>412</v>
      </c>
      <c r="B58" s="121" t="s">
        <v>401</v>
      </c>
      <c r="C58" s="122" t="s">
        <v>226</v>
      </c>
      <c r="D58" s="122" t="s">
        <v>222</v>
      </c>
      <c r="E58" s="122" t="s">
        <v>413</v>
      </c>
      <c r="F58" s="122"/>
      <c r="G58" s="155">
        <v>4837.6687699999993</v>
      </c>
    </row>
    <row r="59" spans="1:7" ht="37.5" x14ac:dyDescent="0.3">
      <c r="A59" s="154" t="s">
        <v>412</v>
      </c>
      <c r="B59" s="121" t="s">
        <v>401</v>
      </c>
      <c r="C59" s="122" t="s">
        <v>226</v>
      </c>
      <c r="D59" s="122" t="s">
        <v>222</v>
      </c>
      <c r="E59" s="122" t="s">
        <v>395</v>
      </c>
      <c r="F59" s="122"/>
      <c r="G59" s="187">
        <v>4837.6687699999993</v>
      </c>
    </row>
    <row r="60" spans="1:7" s="153" customFormat="1" ht="18.75" x14ac:dyDescent="0.3">
      <c r="A60" s="154" t="s">
        <v>230</v>
      </c>
      <c r="B60" s="121" t="s">
        <v>401</v>
      </c>
      <c r="C60" s="122" t="s">
        <v>226</v>
      </c>
      <c r="D60" s="122" t="s">
        <v>222</v>
      </c>
      <c r="E60" s="122" t="s">
        <v>395</v>
      </c>
      <c r="F60" s="122" t="s">
        <v>231</v>
      </c>
      <c r="G60" s="155">
        <v>4837.6687699999993</v>
      </c>
    </row>
    <row r="61" spans="1:7" ht="18.75" x14ac:dyDescent="0.3">
      <c r="A61" s="154" t="s">
        <v>272</v>
      </c>
      <c r="B61" s="121" t="s">
        <v>401</v>
      </c>
      <c r="C61" s="122" t="s">
        <v>228</v>
      </c>
      <c r="D61" s="122"/>
      <c r="E61" s="122"/>
      <c r="F61" s="122"/>
      <c r="G61" s="187">
        <v>2185.5820699999999</v>
      </c>
    </row>
    <row r="62" spans="1:7" ht="44.25" customHeight="1" x14ac:dyDescent="0.25">
      <c r="A62" s="156" t="s">
        <v>229</v>
      </c>
      <c r="B62" s="121" t="s">
        <v>401</v>
      </c>
      <c r="C62" s="122" t="s">
        <v>228</v>
      </c>
      <c r="D62" s="122" t="s">
        <v>207</v>
      </c>
      <c r="E62" s="122"/>
      <c r="F62" s="122"/>
      <c r="G62" s="187">
        <v>2185.5820699999999</v>
      </c>
    </row>
    <row r="63" spans="1:7" ht="56.25" x14ac:dyDescent="0.3">
      <c r="A63" s="154" t="s">
        <v>273</v>
      </c>
      <c r="B63" s="121" t="s">
        <v>401</v>
      </c>
      <c r="C63" s="122" t="s">
        <v>228</v>
      </c>
      <c r="D63" s="122" t="s">
        <v>207</v>
      </c>
      <c r="E63" s="122" t="s">
        <v>274</v>
      </c>
      <c r="F63" s="122"/>
      <c r="G63" s="187">
        <v>2185.5820699999999</v>
      </c>
    </row>
    <row r="64" spans="1:7" ht="18.75" x14ac:dyDescent="0.25">
      <c r="A64" s="156" t="s">
        <v>230</v>
      </c>
      <c r="B64" s="121" t="s">
        <v>401</v>
      </c>
      <c r="C64" s="122" t="s">
        <v>228</v>
      </c>
      <c r="D64" s="122" t="s">
        <v>207</v>
      </c>
      <c r="E64" s="122" t="s">
        <v>274</v>
      </c>
      <c r="F64" s="122" t="s">
        <v>231</v>
      </c>
      <c r="G64" s="187">
        <v>2185.5820699999999</v>
      </c>
    </row>
    <row r="65" spans="1:7" s="153" customFormat="1" ht="18.75" x14ac:dyDescent="0.3">
      <c r="A65" s="154" t="s">
        <v>296</v>
      </c>
      <c r="B65" s="121"/>
      <c r="C65" s="122"/>
      <c r="D65" s="122"/>
      <c r="E65" s="122"/>
      <c r="F65" s="122"/>
      <c r="G65" s="155">
        <f>17426.93452+179.935517142857</f>
        <v>17606.870037142857</v>
      </c>
    </row>
  </sheetData>
  <sheetProtection sort="0" autoFilter="0"/>
  <autoFilter ref="A11:G65"/>
  <mergeCells count="2">
    <mergeCell ref="A8:C8"/>
    <mergeCell ref="A7:G7"/>
  </mergeCells>
  <pageMargins left="0.70866141732283472" right="0.70866141732283472" top="0.74803149606299213" bottom="0.74803149606299213" header="0.31496062992125984" footer="0.31496062992125984"/>
  <pageSetup paperSize="9" scale="42"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5"/>
  <sheetViews>
    <sheetView view="pageBreakPreview" zoomScale="55" zoomScaleSheetLayoutView="55" workbookViewId="0">
      <selection activeCell="J7" sqref="J7"/>
    </sheetView>
  </sheetViews>
  <sheetFormatPr defaultRowHeight="15" x14ac:dyDescent="0.25"/>
  <cols>
    <col min="1" max="1" width="125.5703125" style="138" customWidth="1"/>
    <col min="2" max="2" width="10.7109375" style="120" customWidth="1"/>
    <col min="3" max="3" width="14.42578125"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F1" s="113" t="s">
        <v>199</v>
      </c>
    </row>
    <row r="2" spans="1:6" x14ac:dyDescent="0.25">
      <c r="A2" s="111"/>
      <c r="F2" s="113" t="str">
        <f>CONCATENATE("к решению Совета депутатов ",'Выбор поселения'!CY8," сельского поселения")</f>
        <v>к решению Совета депутатов Братского сельского поселения</v>
      </c>
    </row>
    <row r="3" spans="1:6" x14ac:dyDescent="0.25">
      <c r="A3" s="111"/>
      <c r="F3" s="113" t="str">
        <f>CONCATENATE("О бюджете ",'Выбор поселения'!CY8," сельского поселения на 2026 год")</f>
        <v>О бюджете Братского сельского поселения на 2026 год</v>
      </c>
    </row>
    <row r="4" spans="1:6" x14ac:dyDescent="0.25">
      <c r="A4" s="111"/>
      <c r="F4" s="137" t="str">
        <f>CONCATENATE("от « ",'Выбор поселения'!CY7," » декабря 2025 г. № ",'Выбор поселения'!CY6)</f>
        <v>от « 30 » декабря 2025 г. № 15</v>
      </c>
    </row>
    <row r="5" spans="1:6" x14ac:dyDescent="0.25">
      <c r="A5" s="111"/>
      <c r="B5" s="113"/>
      <c r="D5" s="120" t="s">
        <v>447</v>
      </c>
    </row>
    <row r="6" spans="1:6" x14ac:dyDescent="0.25">
      <c r="B6" s="139"/>
    </row>
    <row r="7" spans="1:6" ht="51" customHeight="1" x14ac:dyDescent="0.3">
      <c r="A7" s="250" t="s">
        <v>363</v>
      </c>
      <c r="B7" s="250"/>
      <c r="C7" s="250"/>
      <c r="D7" s="250"/>
      <c r="E7" s="250"/>
      <c r="F7" s="250"/>
    </row>
    <row r="8" spans="1:6" ht="20.25" x14ac:dyDescent="0.3">
      <c r="A8" s="250"/>
      <c r="B8" s="250"/>
    </row>
    <row r="9" spans="1:6" ht="31.5" x14ac:dyDescent="0.25">
      <c r="F9" s="141" t="s">
        <v>171</v>
      </c>
    </row>
    <row r="10" spans="1:6" ht="56.25" customHeight="1" x14ac:dyDescent="0.25">
      <c r="A10" s="142" t="s">
        <v>276</v>
      </c>
      <c r="B10" s="142" t="s">
        <v>202</v>
      </c>
      <c r="C10" s="142" t="s">
        <v>203</v>
      </c>
      <c r="D10" s="142" t="s">
        <v>204</v>
      </c>
      <c r="E10" s="142" t="s">
        <v>205</v>
      </c>
      <c r="F10" s="151" t="s">
        <v>206</v>
      </c>
    </row>
    <row r="11" spans="1:6" ht="18.75" x14ac:dyDescent="0.25">
      <c r="A11" s="151">
        <v>1</v>
      </c>
      <c r="B11" s="151">
        <v>3</v>
      </c>
      <c r="C11" s="151">
        <v>4</v>
      </c>
      <c r="D11" s="151">
        <v>5</v>
      </c>
      <c r="E11" s="151">
        <v>6</v>
      </c>
      <c r="F11" s="151">
        <v>7</v>
      </c>
    </row>
    <row r="12" spans="1:6" s="153" customFormat="1" ht="18.75" x14ac:dyDescent="0.3">
      <c r="A12" s="152" t="s">
        <v>400</v>
      </c>
      <c r="B12" s="122"/>
      <c r="C12" s="122"/>
      <c r="D12" s="122"/>
      <c r="E12" s="122"/>
      <c r="F12" s="147">
        <v>17426.934519999999</v>
      </c>
    </row>
    <row r="13" spans="1:6" s="153" customFormat="1" ht="18.75" x14ac:dyDescent="0.3">
      <c r="A13" s="154" t="s">
        <v>243</v>
      </c>
      <c r="B13" s="122" t="s">
        <v>207</v>
      </c>
      <c r="C13" s="122"/>
      <c r="D13" s="122"/>
      <c r="E13" s="122"/>
      <c r="F13" s="147">
        <v>5928.1006799999996</v>
      </c>
    </row>
    <row r="14" spans="1:6" s="153" customFormat="1" ht="37.5" x14ac:dyDescent="0.3">
      <c r="A14" s="154" t="s">
        <v>402</v>
      </c>
      <c r="B14" s="122" t="s">
        <v>207</v>
      </c>
      <c r="C14" s="122" t="s">
        <v>208</v>
      </c>
      <c r="D14" s="122"/>
      <c r="E14" s="122"/>
      <c r="F14" s="147">
        <v>5923.1006799999996</v>
      </c>
    </row>
    <row r="15" spans="1:6" s="153" customFormat="1" ht="18.75" x14ac:dyDescent="0.3">
      <c r="A15" s="154" t="s">
        <v>209</v>
      </c>
      <c r="B15" s="122" t="s">
        <v>207</v>
      </c>
      <c r="C15" s="122" t="s">
        <v>208</v>
      </c>
      <c r="D15" s="122" t="s">
        <v>244</v>
      </c>
      <c r="E15" s="122"/>
      <c r="F15" s="147">
        <v>5923.1006799999996</v>
      </c>
    </row>
    <row r="16" spans="1:6" s="153" customFormat="1" ht="18.75" x14ac:dyDescent="0.3">
      <c r="A16" s="154" t="s">
        <v>403</v>
      </c>
      <c r="B16" s="122" t="s">
        <v>207</v>
      </c>
      <c r="C16" s="122" t="s">
        <v>208</v>
      </c>
      <c r="D16" s="122" t="s">
        <v>245</v>
      </c>
      <c r="E16" s="122"/>
      <c r="F16" s="147">
        <v>4655.8999999999996</v>
      </c>
    </row>
    <row r="17" spans="1:6" ht="18.75" x14ac:dyDescent="0.3">
      <c r="A17" s="154" t="s">
        <v>246</v>
      </c>
      <c r="B17" s="122" t="s">
        <v>207</v>
      </c>
      <c r="C17" s="122" t="s">
        <v>208</v>
      </c>
      <c r="D17" s="122" t="s">
        <v>245</v>
      </c>
      <c r="E17" s="122" t="s">
        <v>210</v>
      </c>
      <c r="F17" s="187">
        <v>3575.96</v>
      </c>
    </row>
    <row r="18" spans="1:6" ht="37.5" x14ac:dyDescent="0.3">
      <c r="A18" s="154" t="s">
        <v>247</v>
      </c>
      <c r="B18" s="122" t="s">
        <v>207</v>
      </c>
      <c r="C18" s="122" t="s">
        <v>208</v>
      </c>
      <c r="D18" s="122" t="s">
        <v>245</v>
      </c>
      <c r="E18" s="122" t="s">
        <v>211</v>
      </c>
      <c r="F18" s="187">
        <v>1079.94</v>
      </c>
    </row>
    <row r="19" spans="1:6" s="153" customFormat="1" ht="18.75" x14ac:dyDescent="0.3">
      <c r="A19" s="154" t="s">
        <v>404</v>
      </c>
      <c r="B19" s="122" t="s">
        <v>207</v>
      </c>
      <c r="C19" s="122" t="s">
        <v>208</v>
      </c>
      <c r="D19" s="122" t="s">
        <v>248</v>
      </c>
      <c r="E19" s="122"/>
      <c r="F19" s="147">
        <v>59.170999999999999</v>
      </c>
    </row>
    <row r="20" spans="1:6" ht="18.75" x14ac:dyDescent="0.3">
      <c r="A20" s="154" t="s">
        <v>249</v>
      </c>
      <c r="B20" s="122" t="s">
        <v>207</v>
      </c>
      <c r="C20" s="122" t="s">
        <v>208</v>
      </c>
      <c r="D20" s="122" t="s">
        <v>248</v>
      </c>
      <c r="E20" s="122" t="s">
        <v>214</v>
      </c>
      <c r="F20" s="187">
        <v>59.170999999999999</v>
      </c>
    </row>
    <row r="21" spans="1:6" s="153" customFormat="1" ht="18.75" x14ac:dyDescent="0.3">
      <c r="A21" s="154" t="s">
        <v>405</v>
      </c>
      <c r="B21" s="122" t="s">
        <v>207</v>
      </c>
      <c r="C21" s="122" t="s">
        <v>208</v>
      </c>
      <c r="D21" s="122" t="s">
        <v>250</v>
      </c>
      <c r="E21" s="122"/>
      <c r="F21" s="147">
        <v>305.79199999999997</v>
      </c>
    </row>
    <row r="22" spans="1:6" ht="18.75" x14ac:dyDescent="0.3">
      <c r="A22" s="154" t="s">
        <v>215</v>
      </c>
      <c r="B22" s="122" t="s">
        <v>207</v>
      </c>
      <c r="C22" s="122" t="s">
        <v>208</v>
      </c>
      <c r="D22" s="122" t="s">
        <v>250</v>
      </c>
      <c r="E22" s="122" t="s">
        <v>216</v>
      </c>
      <c r="F22" s="187">
        <v>305.79199999999997</v>
      </c>
    </row>
    <row r="23" spans="1:6" s="153" customFormat="1" ht="18.75" x14ac:dyDescent="0.3">
      <c r="A23" s="154" t="s">
        <v>406</v>
      </c>
      <c r="B23" s="122" t="s">
        <v>207</v>
      </c>
      <c r="C23" s="122" t="s">
        <v>208</v>
      </c>
      <c r="D23" s="122" t="s">
        <v>251</v>
      </c>
      <c r="E23" s="122"/>
      <c r="F23" s="147">
        <v>108</v>
      </c>
    </row>
    <row r="24" spans="1:6" ht="18.75" x14ac:dyDescent="0.3">
      <c r="A24" s="154" t="s">
        <v>212</v>
      </c>
      <c r="B24" s="122" t="s">
        <v>207</v>
      </c>
      <c r="C24" s="122" t="s">
        <v>208</v>
      </c>
      <c r="D24" s="122" t="s">
        <v>251</v>
      </c>
      <c r="E24" s="122" t="s">
        <v>213</v>
      </c>
      <c r="F24" s="187">
        <v>108</v>
      </c>
    </row>
    <row r="25" spans="1:6" ht="18.75" x14ac:dyDescent="0.3">
      <c r="A25" s="154" t="s">
        <v>407</v>
      </c>
      <c r="B25" s="122" t="s">
        <v>207</v>
      </c>
      <c r="C25" s="122" t="s">
        <v>208</v>
      </c>
      <c r="D25" s="122" t="s">
        <v>252</v>
      </c>
      <c r="E25" s="122"/>
      <c r="F25" s="187">
        <v>15</v>
      </c>
    </row>
    <row r="26" spans="1:6" s="153" customFormat="1" ht="18.75" x14ac:dyDescent="0.3">
      <c r="A26" s="154" t="s">
        <v>215</v>
      </c>
      <c r="B26" s="122" t="s">
        <v>207</v>
      </c>
      <c r="C26" s="122" t="s">
        <v>208</v>
      </c>
      <c r="D26" s="122" t="s">
        <v>252</v>
      </c>
      <c r="E26" s="122" t="s">
        <v>216</v>
      </c>
      <c r="F26" s="147">
        <v>15</v>
      </c>
    </row>
    <row r="27" spans="1:6" ht="18.75" x14ac:dyDescent="0.3">
      <c r="A27" s="154" t="s">
        <v>141</v>
      </c>
      <c r="B27" s="122" t="s">
        <v>207</v>
      </c>
      <c r="C27" s="122" t="s">
        <v>208</v>
      </c>
      <c r="D27" s="122" t="s">
        <v>253</v>
      </c>
      <c r="E27" s="122"/>
      <c r="F27" s="187">
        <v>215.55068</v>
      </c>
    </row>
    <row r="28" spans="1:6" s="153" customFormat="1" ht="18.75" x14ac:dyDescent="0.3">
      <c r="A28" s="154" t="s">
        <v>254</v>
      </c>
      <c r="B28" s="122" t="s">
        <v>207</v>
      </c>
      <c r="C28" s="122" t="s">
        <v>208</v>
      </c>
      <c r="D28" s="122" t="s">
        <v>253</v>
      </c>
      <c r="E28" s="122" t="s">
        <v>255</v>
      </c>
      <c r="F28" s="147">
        <v>215.55068</v>
      </c>
    </row>
    <row r="29" spans="1:6" ht="18.75" x14ac:dyDescent="0.3">
      <c r="A29" s="154" t="s">
        <v>408</v>
      </c>
      <c r="B29" s="122" t="s">
        <v>207</v>
      </c>
      <c r="C29" s="122" t="s">
        <v>208</v>
      </c>
      <c r="D29" s="122" t="s">
        <v>256</v>
      </c>
      <c r="E29" s="122"/>
      <c r="F29" s="187">
        <v>563.68700000000001</v>
      </c>
    </row>
    <row r="30" spans="1:6" s="153" customFormat="1" ht="18.75" x14ac:dyDescent="0.3">
      <c r="A30" s="154" t="s">
        <v>249</v>
      </c>
      <c r="B30" s="122" t="s">
        <v>207</v>
      </c>
      <c r="C30" s="122" t="s">
        <v>208</v>
      </c>
      <c r="D30" s="122" t="s">
        <v>256</v>
      </c>
      <c r="E30" s="122" t="s">
        <v>214</v>
      </c>
      <c r="F30" s="147">
        <v>250</v>
      </c>
    </row>
    <row r="31" spans="1:6" ht="18.75" x14ac:dyDescent="0.3">
      <c r="A31" s="154" t="s">
        <v>215</v>
      </c>
      <c r="B31" s="122" t="s">
        <v>207</v>
      </c>
      <c r="C31" s="122" t="s">
        <v>208</v>
      </c>
      <c r="D31" s="122" t="s">
        <v>256</v>
      </c>
      <c r="E31" s="122" t="s">
        <v>216</v>
      </c>
      <c r="F31" s="187">
        <v>313.68700000000001</v>
      </c>
    </row>
    <row r="32" spans="1:6" s="153" customFormat="1" ht="18.75" x14ac:dyDescent="0.3">
      <c r="A32" s="154" t="s">
        <v>144</v>
      </c>
      <c r="B32" s="122" t="s">
        <v>207</v>
      </c>
      <c r="C32" s="122" t="s">
        <v>217</v>
      </c>
      <c r="D32" s="122"/>
      <c r="E32" s="122"/>
      <c r="F32" s="147">
        <v>5</v>
      </c>
    </row>
    <row r="33" spans="1:6" ht="18.75" x14ac:dyDescent="0.3">
      <c r="A33" s="154" t="s">
        <v>144</v>
      </c>
      <c r="B33" s="122" t="s">
        <v>207</v>
      </c>
      <c r="C33" s="122" t="s">
        <v>217</v>
      </c>
      <c r="D33" s="122" t="s">
        <v>257</v>
      </c>
      <c r="E33" s="122"/>
      <c r="F33" s="187">
        <v>5</v>
      </c>
    </row>
    <row r="34" spans="1:6" ht="18.75" x14ac:dyDescent="0.3">
      <c r="A34" s="154" t="s">
        <v>258</v>
      </c>
      <c r="B34" s="122" t="s">
        <v>207</v>
      </c>
      <c r="C34" s="122" t="s">
        <v>217</v>
      </c>
      <c r="D34" s="122" t="s">
        <v>259</v>
      </c>
      <c r="E34" s="122"/>
      <c r="F34" s="187">
        <v>5</v>
      </c>
    </row>
    <row r="35" spans="1:6" ht="18.75" x14ac:dyDescent="0.3">
      <c r="A35" s="154" t="s">
        <v>218</v>
      </c>
      <c r="B35" s="122" t="s">
        <v>207</v>
      </c>
      <c r="C35" s="122" t="s">
        <v>217</v>
      </c>
      <c r="D35" s="122" t="s">
        <v>259</v>
      </c>
      <c r="E35" s="122" t="s">
        <v>219</v>
      </c>
      <c r="F35" s="187">
        <v>5</v>
      </c>
    </row>
    <row r="36" spans="1:6" ht="18.75" x14ac:dyDescent="0.3">
      <c r="A36" s="154" t="s">
        <v>260</v>
      </c>
      <c r="B36" s="122" t="s">
        <v>220</v>
      </c>
      <c r="C36" s="122"/>
      <c r="D36" s="122"/>
      <c r="E36" s="122"/>
      <c r="F36" s="187">
        <v>536.93600000000004</v>
      </c>
    </row>
    <row r="37" spans="1:6" s="153" customFormat="1" ht="18.75" x14ac:dyDescent="0.3">
      <c r="A37" s="154" t="s">
        <v>221</v>
      </c>
      <c r="B37" s="122" t="s">
        <v>220</v>
      </c>
      <c r="C37" s="122" t="s">
        <v>222</v>
      </c>
      <c r="D37" s="122"/>
      <c r="E37" s="122"/>
      <c r="F37" s="147">
        <v>536.93600000000004</v>
      </c>
    </row>
    <row r="38" spans="1:6" s="153" customFormat="1" ht="18.75" x14ac:dyDescent="0.3">
      <c r="A38" s="154" t="s">
        <v>223</v>
      </c>
      <c r="B38" s="122" t="s">
        <v>220</v>
      </c>
      <c r="C38" s="122" t="s">
        <v>222</v>
      </c>
      <c r="D38" s="122" t="s">
        <v>261</v>
      </c>
      <c r="E38" s="122"/>
      <c r="F38" s="147">
        <v>536.93600000000004</v>
      </c>
    </row>
    <row r="39" spans="1:6" s="153" customFormat="1" ht="18.75" x14ac:dyDescent="0.3">
      <c r="A39" s="154" t="s">
        <v>262</v>
      </c>
      <c r="B39" s="122" t="s">
        <v>220</v>
      </c>
      <c r="C39" s="122" t="s">
        <v>222</v>
      </c>
      <c r="D39" s="122" t="s">
        <v>263</v>
      </c>
      <c r="E39" s="122"/>
      <c r="F39" s="147">
        <v>423.3</v>
      </c>
    </row>
    <row r="40" spans="1:6" ht="18.75" x14ac:dyDescent="0.3">
      <c r="A40" s="154" t="s">
        <v>246</v>
      </c>
      <c r="B40" s="122" t="s">
        <v>220</v>
      </c>
      <c r="C40" s="122" t="s">
        <v>222</v>
      </c>
      <c r="D40" s="122" t="s">
        <v>263</v>
      </c>
      <c r="E40" s="122" t="s">
        <v>210</v>
      </c>
      <c r="F40" s="187">
        <v>325.11500000000001</v>
      </c>
    </row>
    <row r="41" spans="1:6" s="153" customFormat="1" ht="37.5" x14ac:dyDescent="0.3">
      <c r="A41" s="154" t="s">
        <v>247</v>
      </c>
      <c r="B41" s="122" t="s">
        <v>220</v>
      </c>
      <c r="C41" s="122" t="s">
        <v>222</v>
      </c>
      <c r="D41" s="122" t="s">
        <v>263</v>
      </c>
      <c r="E41" s="122" t="s">
        <v>211</v>
      </c>
      <c r="F41" s="147">
        <v>98.185000000000002</v>
      </c>
    </row>
    <row r="42" spans="1:6" s="153" customFormat="1" ht="18.75" x14ac:dyDescent="0.3">
      <c r="A42" s="154" t="s">
        <v>264</v>
      </c>
      <c r="B42" s="122" t="s">
        <v>220</v>
      </c>
      <c r="C42" s="122" t="s">
        <v>222</v>
      </c>
      <c r="D42" s="122" t="s">
        <v>265</v>
      </c>
      <c r="E42" s="122"/>
      <c r="F42" s="147">
        <v>113.636</v>
      </c>
    </row>
    <row r="43" spans="1:6" s="153" customFormat="1" ht="18.75" x14ac:dyDescent="0.3">
      <c r="A43" s="154" t="s">
        <v>249</v>
      </c>
      <c r="B43" s="122" t="s">
        <v>220</v>
      </c>
      <c r="C43" s="122" t="s">
        <v>222</v>
      </c>
      <c r="D43" s="122" t="s">
        <v>265</v>
      </c>
      <c r="E43" s="122" t="s">
        <v>214</v>
      </c>
      <c r="F43" s="147">
        <v>24.347000000000001</v>
      </c>
    </row>
    <row r="44" spans="1:6" s="153" customFormat="1" ht="18.75" x14ac:dyDescent="0.3">
      <c r="A44" s="154" t="s">
        <v>215</v>
      </c>
      <c r="B44" s="122" t="s">
        <v>220</v>
      </c>
      <c r="C44" s="122" t="s">
        <v>222</v>
      </c>
      <c r="D44" s="122" t="s">
        <v>265</v>
      </c>
      <c r="E44" s="122" t="s">
        <v>216</v>
      </c>
      <c r="F44" s="147">
        <v>63.021000000000001</v>
      </c>
    </row>
    <row r="45" spans="1:6" ht="18.75" x14ac:dyDescent="0.3">
      <c r="A45" s="154" t="s">
        <v>212</v>
      </c>
      <c r="B45" s="122" t="s">
        <v>220</v>
      </c>
      <c r="C45" s="122" t="s">
        <v>222</v>
      </c>
      <c r="D45" s="122" t="s">
        <v>265</v>
      </c>
      <c r="E45" s="122" t="s">
        <v>213</v>
      </c>
      <c r="F45" s="187">
        <v>26.268000000000001</v>
      </c>
    </row>
    <row r="46" spans="1:6" ht="18.75" x14ac:dyDescent="0.3">
      <c r="A46" s="154" t="s">
        <v>266</v>
      </c>
      <c r="B46" s="122" t="s">
        <v>222</v>
      </c>
      <c r="C46" s="122"/>
      <c r="D46" s="122"/>
      <c r="E46" s="122"/>
      <c r="F46" s="187">
        <v>5</v>
      </c>
    </row>
    <row r="47" spans="1:6" s="153" customFormat="1" ht="37.5" x14ac:dyDescent="0.3">
      <c r="A47" s="154" t="s">
        <v>224</v>
      </c>
      <c r="B47" s="122" t="s">
        <v>222</v>
      </c>
      <c r="C47" s="122" t="s">
        <v>225</v>
      </c>
      <c r="D47" s="122"/>
      <c r="E47" s="122"/>
      <c r="F47" s="147">
        <v>5</v>
      </c>
    </row>
    <row r="48" spans="1:6" ht="37.5" x14ac:dyDescent="0.3">
      <c r="A48" s="154" t="s">
        <v>409</v>
      </c>
      <c r="B48" s="122" t="s">
        <v>222</v>
      </c>
      <c r="C48" s="122" t="s">
        <v>225</v>
      </c>
      <c r="D48" s="122" t="s">
        <v>410</v>
      </c>
      <c r="E48" s="122"/>
      <c r="F48" s="187">
        <v>5</v>
      </c>
    </row>
    <row r="49" spans="1:6" ht="18.75" x14ac:dyDescent="0.3">
      <c r="A49" s="154" t="s">
        <v>215</v>
      </c>
      <c r="B49" s="122" t="s">
        <v>222</v>
      </c>
      <c r="C49" s="122" t="s">
        <v>225</v>
      </c>
      <c r="D49" s="122" t="s">
        <v>410</v>
      </c>
      <c r="E49" s="122" t="s">
        <v>216</v>
      </c>
      <c r="F49" s="187">
        <v>5</v>
      </c>
    </row>
    <row r="50" spans="1:6" ht="18.75" x14ac:dyDescent="0.3">
      <c r="A50" s="154" t="s">
        <v>267</v>
      </c>
      <c r="B50" s="122" t="s">
        <v>226</v>
      </c>
      <c r="C50" s="122"/>
      <c r="D50" s="122"/>
      <c r="E50" s="122"/>
      <c r="F50" s="187">
        <v>8771.3157699999992</v>
      </c>
    </row>
    <row r="51" spans="1:6" s="153" customFormat="1" ht="18.75" x14ac:dyDescent="0.3">
      <c r="A51" s="154" t="s">
        <v>227</v>
      </c>
      <c r="B51" s="122" t="s">
        <v>226</v>
      </c>
      <c r="C51" s="122" t="s">
        <v>222</v>
      </c>
      <c r="D51" s="122"/>
      <c r="E51" s="122"/>
      <c r="F51" s="147">
        <v>8771.3157699999992</v>
      </c>
    </row>
    <row r="52" spans="1:6" s="153" customFormat="1" ht="18.75" x14ac:dyDescent="0.3">
      <c r="A52" s="154" t="s">
        <v>227</v>
      </c>
      <c r="B52" s="122" t="s">
        <v>226</v>
      </c>
      <c r="C52" s="122" t="s">
        <v>222</v>
      </c>
      <c r="D52" s="122" t="s">
        <v>268</v>
      </c>
      <c r="E52" s="122"/>
      <c r="F52" s="147">
        <v>8771.3157699999992</v>
      </c>
    </row>
    <row r="53" spans="1:6" s="153" customFormat="1" ht="18.75" x14ac:dyDescent="0.3">
      <c r="A53" s="154" t="s">
        <v>269</v>
      </c>
      <c r="B53" s="122" t="s">
        <v>226</v>
      </c>
      <c r="C53" s="122" t="s">
        <v>222</v>
      </c>
      <c r="D53" s="122" t="s">
        <v>270</v>
      </c>
      <c r="E53" s="122"/>
      <c r="F53" s="147">
        <v>670.64700000000005</v>
      </c>
    </row>
    <row r="54" spans="1:6" ht="18.75" x14ac:dyDescent="0.3">
      <c r="A54" s="154" t="s">
        <v>212</v>
      </c>
      <c r="B54" s="122" t="s">
        <v>226</v>
      </c>
      <c r="C54" s="122" t="s">
        <v>222</v>
      </c>
      <c r="D54" s="122" t="s">
        <v>270</v>
      </c>
      <c r="E54" s="122" t="s">
        <v>213</v>
      </c>
      <c r="F54" s="187">
        <f>670.647+179.935517142857</f>
        <v>850.58251714285711</v>
      </c>
    </row>
    <row r="55" spans="1:6" s="153" customFormat="1" ht="18.75" x14ac:dyDescent="0.3">
      <c r="A55" s="154" t="s">
        <v>411</v>
      </c>
      <c r="B55" s="122" t="s">
        <v>226</v>
      </c>
      <c r="C55" s="122" t="s">
        <v>222</v>
      </c>
      <c r="D55" s="122" t="s">
        <v>271</v>
      </c>
      <c r="E55" s="122"/>
      <c r="F55" s="155">
        <v>3263</v>
      </c>
    </row>
    <row r="56" spans="1:6" s="153" customFormat="1" ht="18.75" x14ac:dyDescent="0.3">
      <c r="A56" s="154" t="s">
        <v>215</v>
      </c>
      <c r="B56" s="122" t="s">
        <v>226</v>
      </c>
      <c r="C56" s="122" t="s">
        <v>222</v>
      </c>
      <c r="D56" s="122" t="s">
        <v>271</v>
      </c>
      <c r="E56" s="122" t="s">
        <v>216</v>
      </c>
      <c r="F56" s="155">
        <v>0</v>
      </c>
    </row>
    <row r="57" spans="1:6" s="153" customFormat="1" ht="18.75" x14ac:dyDescent="0.3">
      <c r="A57" s="154" t="s">
        <v>230</v>
      </c>
      <c r="B57" s="122" t="s">
        <v>226</v>
      </c>
      <c r="C57" s="122" t="s">
        <v>222</v>
      </c>
      <c r="D57" s="122" t="s">
        <v>271</v>
      </c>
      <c r="E57" s="122" t="s">
        <v>231</v>
      </c>
      <c r="F57" s="155">
        <v>3263</v>
      </c>
    </row>
    <row r="58" spans="1:6" s="153" customFormat="1" ht="37.5" x14ac:dyDescent="0.3">
      <c r="A58" s="154" t="s">
        <v>412</v>
      </c>
      <c r="B58" s="122" t="s">
        <v>226</v>
      </c>
      <c r="C58" s="122" t="s">
        <v>222</v>
      </c>
      <c r="D58" s="122" t="s">
        <v>413</v>
      </c>
      <c r="E58" s="122"/>
      <c r="F58" s="155">
        <v>4837.6687699999993</v>
      </c>
    </row>
    <row r="59" spans="1:6" ht="37.5" x14ac:dyDescent="0.3">
      <c r="A59" s="154" t="s">
        <v>412</v>
      </c>
      <c r="B59" s="122" t="s">
        <v>226</v>
      </c>
      <c r="C59" s="122" t="s">
        <v>222</v>
      </c>
      <c r="D59" s="122" t="s">
        <v>395</v>
      </c>
      <c r="E59" s="122"/>
      <c r="F59" s="187">
        <v>4837.6687699999993</v>
      </c>
    </row>
    <row r="60" spans="1:6" s="153" customFormat="1" ht="18.75" x14ac:dyDescent="0.3">
      <c r="A60" s="154" t="s">
        <v>230</v>
      </c>
      <c r="B60" s="122" t="s">
        <v>226</v>
      </c>
      <c r="C60" s="122" t="s">
        <v>222</v>
      </c>
      <c r="D60" s="122" t="s">
        <v>395</v>
      </c>
      <c r="E60" s="122" t="s">
        <v>231</v>
      </c>
      <c r="F60" s="155">
        <v>4837.6687699999993</v>
      </c>
    </row>
    <row r="61" spans="1:6" ht="18.75" x14ac:dyDescent="0.3">
      <c r="A61" s="154" t="s">
        <v>272</v>
      </c>
      <c r="B61" s="122" t="s">
        <v>228</v>
      </c>
      <c r="C61" s="122"/>
      <c r="D61" s="122"/>
      <c r="E61" s="122"/>
      <c r="F61" s="187">
        <v>2185.5820699999999</v>
      </c>
    </row>
    <row r="62" spans="1:6" ht="44.25" customHeight="1" x14ac:dyDescent="0.25">
      <c r="A62" s="156" t="s">
        <v>229</v>
      </c>
      <c r="B62" s="122" t="s">
        <v>228</v>
      </c>
      <c r="C62" s="122" t="s">
        <v>207</v>
      </c>
      <c r="D62" s="122"/>
      <c r="E62" s="122"/>
      <c r="F62" s="187">
        <v>2185.5820699999999</v>
      </c>
    </row>
    <row r="63" spans="1:6" ht="56.25" x14ac:dyDescent="0.3">
      <c r="A63" s="154" t="s">
        <v>273</v>
      </c>
      <c r="B63" s="122" t="s">
        <v>228</v>
      </c>
      <c r="C63" s="122" t="s">
        <v>207</v>
      </c>
      <c r="D63" s="122" t="s">
        <v>274</v>
      </c>
      <c r="E63" s="122"/>
      <c r="F63" s="187">
        <v>2185.5820699999999</v>
      </c>
    </row>
    <row r="64" spans="1:6" ht="44.25" customHeight="1" x14ac:dyDescent="0.25">
      <c r="A64" s="156" t="s">
        <v>230</v>
      </c>
      <c r="B64" s="122" t="s">
        <v>228</v>
      </c>
      <c r="C64" s="122" t="s">
        <v>207</v>
      </c>
      <c r="D64" s="122" t="s">
        <v>274</v>
      </c>
      <c r="E64" s="122" t="s">
        <v>231</v>
      </c>
      <c r="F64" s="187">
        <v>2185.5820699999999</v>
      </c>
    </row>
    <row r="65" spans="1:6" s="153" customFormat="1" ht="18.75" x14ac:dyDescent="0.3">
      <c r="A65" s="254" t="s">
        <v>296</v>
      </c>
      <c r="B65" s="255"/>
      <c r="C65" s="255"/>
      <c r="D65" s="255"/>
      <c r="E65" s="256"/>
      <c r="F65" s="155">
        <f>17426.93452+179.935517142857</f>
        <v>17606.870037142857</v>
      </c>
    </row>
  </sheetData>
  <sheetProtection sort="0" autoFilter="0"/>
  <autoFilter ref="A11:F65"/>
  <mergeCells count="3">
    <mergeCell ref="A7:F7"/>
    <mergeCell ref="A8:B8"/>
    <mergeCell ref="A65:E65"/>
  </mergeCells>
  <pageMargins left="0.70866141732283472" right="0.70866141732283472" top="0.74803149606299213" bottom="0.74803149606299213" header="0.31496062992125984" footer="0.31496062992125984"/>
  <pageSetup paperSize="9" scale="4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view="pageBreakPreview" zoomScale="70" zoomScaleSheetLayoutView="70" workbookViewId="0">
      <selection activeCell="C6" sqref="C6"/>
    </sheetView>
  </sheetViews>
  <sheetFormatPr defaultRowHeight="15" x14ac:dyDescent="0.25"/>
  <cols>
    <col min="1" max="1" width="84.140625" style="138" customWidth="1"/>
    <col min="2" max="3" width="21"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C1" s="113" t="s">
        <v>275</v>
      </c>
    </row>
    <row r="2" spans="1:6" x14ac:dyDescent="0.25">
      <c r="A2" s="111"/>
      <c r="C2" s="113" t="str">
        <f>CONCATENATE("к решению Совета депутатов ",'Выбор поселения'!CY8," сельского поселения")</f>
        <v>к решению Совета депутатов Братского сельского поселения</v>
      </c>
    </row>
    <row r="3" spans="1:6" x14ac:dyDescent="0.25">
      <c r="A3" s="111"/>
      <c r="C3" s="113" t="str">
        <f>CONCATENATE("О бюджете ",'Выбор поселения'!CY8," сельского поселения на 2026 год")</f>
        <v>О бюджете Братского сельского поселения на 2026 год</v>
      </c>
    </row>
    <row r="4" spans="1:6" x14ac:dyDescent="0.25">
      <c r="A4" s="111"/>
      <c r="C4" s="137" t="str">
        <f>CONCATENATE("от « ",'Выбор поселения'!CY7," » декабря 2025 г. № ",'Выбор поселения'!CY6)</f>
        <v>от « 30 » декабря 2025 г. № 15</v>
      </c>
    </row>
    <row r="5" spans="1:6" x14ac:dyDescent="0.25">
      <c r="A5" s="111"/>
      <c r="B5" s="113"/>
    </row>
    <row r="6" spans="1:6" x14ac:dyDescent="0.25">
      <c r="B6" s="139"/>
    </row>
    <row r="7" spans="1:6" ht="68.25" customHeight="1" x14ac:dyDescent="0.3">
      <c r="A7" s="250" t="s">
        <v>359</v>
      </c>
      <c r="B7" s="250"/>
      <c r="C7" s="250"/>
      <c r="D7" s="180"/>
      <c r="E7" s="180"/>
      <c r="F7" s="180"/>
    </row>
    <row r="8" spans="1:6" ht="20.25" x14ac:dyDescent="0.3">
      <c r="A8" s="250"/>
      <c r="B8" s="250"/>
    </row>
    <row r="9" spans="1:6" ht="37.5" x14ac:dyDescent="0.3">
      <c r="A9" s="179"/>
      <c r="B9" s="175"/>
      <c r="C9" s="181" t="s">
        <v>171</v>
      </c>
    </row>
    <row r="10" spans="1:6" ht="18.75" x14ac:dyDescent="0.25">
      <c r="A10" s="182" t="s">
        <v>280</v>
      </c>
      <c r="B10" s="151" t="s">
        <v>281</v>
      </c>
      <c r="C10" s="151" t="s">
        <v>282</v>
      </c>
    </row>
    <row r="11" spans="1:6" ht="18.75" x14ac:dyDescent="0.3">
      <c r="A11" s="183">
        <v>1</v>
      </c>
      <c r="B11" s="183">
        <v>2</v>
      </c>
      <c r="C11" s="183">
        <v>3</v>
      </c>
    </row>
    <row r="12" spans="1:6" ht="37.5" x14ac:dyDescent="0.25">
      <c r="A12" s="162" t="s">
        <v>283</v>
      </c>
      <c r="B12" s="184">
        <v>0</v>
      </c>
      <c r="C12" s="184">
        <v>0</v>
      </c>
    </row>
    <row r="13" spans="1:6" ht="29.25" customHeight="1" x14ac:dyDescent="0.25">
      <c r="A13" s="162" t="s">
        <v>284</v>
      </c>
      <c r="B13" s="184"/>
      <c r="C13" s="184"/>
    </row>
    <row r="14" spans="1:6" ht="29.25" customHeight="1" x14ac:dyDescent="0.25">
      <c r="A14" s="162" t="s">
        <v>285</v>
      </c>
      <c r="B14" s="184">
        <v>0</v>
      </c>
      <c r="C14" s="184">
        <v>0</v>
      </c>
    </row>
    <row r="15" spans="1:6" ht="29.25" customHeight="1" x14ac:dyDescent="0.25">
      <c r="A15" s="185" t="s">
        <v>286</v>
      </c>
      <c r="B15" s="186">
        <v>0</v>
      </c>
      <c r="C15" s="186">
        <v>0</v>
      </c>
    </row>
  </sheetData>
  <mergeCells count="2">
    <mergeCell ref="A8:B8"/>
    <mergeCell ref="A7:C7"/>
  </mergeCells>
  <pageMargins left="0.70866141732283472" right="0.70866141732283472" top="0.74803149606299213" bottom="0.74803149606299213" header="0.31496062992125984" footer="0.31496062992125984"/>
  <pageSetup paperSize="9" scale="69"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view="pageBreakPreview" zoomScale="55" zoomScaleSheetLayoutView="55" workbookViewId="0">
      <selection activeCell="E11" sqref="E11"/>
    </sheetView>
  </sheetViews>
  <sheetFormatPr defaultRowHeight="15" x14ac:dyDescent="0.25"/>
  <cols>
    <col min="1" max="1" width="7.28515625" style="138" bestFit="1" customWidth="1"/>
    <col min="2" max="3" width="37.42578125" style="120" customWidth="1"/>
    <col min="4" max="5" width="22.42578125" style="120" customWidth="1"/>
    <col min="6" max="7" width="33.425781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G1" s="113" t="s">
        <v>277</v>
      </c>
    </row>
    <row r="2" spans="1:7" x14ac:dyDescent="0.25">
      <c r="A2" s="111"/>
      <c r="G2" s="113" t="str">
        <f>CONCATENATE("к решению Совета депутатов ",'Выбор поселения'!CY8," сельского поселения")</f>
        <v>к решению Совета депутатов Братского сельского поселения</v>
      </c>
    </row>
    <row r="3" spans="1:7" x14ac:dyDescent="0.25">
      <c r="A3" s="111"/>
      <c r="G3" s="113" t="str">
        <f>CONCATENATE("О бюджете ",'Выбор поселения'!CY8," сельского поселения на 2026 год")</f>
        <v>О бюджете Братского сельского поселения на 2026 год</v>
      </c>
    </row>
    <row r="4" spans="1:7" x14ac:dyDescent="0.25">
      <c r="A4" s="111"/>
      <c r="G4" s="137" t="str">
        <f>CONCATENATE("от « ",'Выбор поселения'!CY7," » декабря 2025 г. № ",'Выбор поселения'!CY6)</f>
        <v>от « 30 » декабря 2025 г. № 15</v>
      </c>
    </row>
    <row r="5" spans="1:7" x14ac:dyDescent="0.25">
      <c r="A5" s="111"/>
      <c r="B5" s="113"/>
    </row>
    <row r="6" spans="1:7" x14ac:dyDescent="0.25">
      <c r="B6" s="139"/>
    </row>
    <row r="7" spans="1:7" ht="49.5" customHeight="1" x14ac:dyDescent="0.25">
      <c r="A7" s="261" t="s">
        <v>358</v>
      </c>
      <c r="B7" s="261"/>
      <c r="C7" s="261"/>
      <c r="D7" s="261"/>
      <c r="E7" s="261"/>
      <c r="F7" s="261"/>
      <c r="G7" s="261"/>
    </row>
    <row r="8" spans="1:7" ht="25.5" customHeight="1" x14ac:dyDescent="0.3">
      <c r="A8" s="262" t="s">
        <v>380</v>
      </c>
      <c r="B8" s="262"/>
      <c r="C8" s="262"/>
      <c r="D8" s="262"/>
      <c r="E8" s="262"/>
      <c r="F8" s="262"/>
      <c r="G8" s="262"/>
    </row>
    <row r="9" spans="1:7" ht="18.75" x14ac:dyDescent="0.25">
      <c r="A9" s="264" t="s">
        <v>288</v>
      </c>
      <c r="B9" s="264"/>
      <c r="C9" s="264"/>
      <c r="D9" s="264"/>
      <c r="E9" s="264"/>
      <c r="F9" s="264"/>
      <c r="G9" s="264"/>
    </row>
    <row r="10" spans="1:7" ht="123.75" customHeight="1" x14ac:dyDescent="0.25">
      <c r="A10" s="151" t="s">
        <v>289</v>
      </c>
      <c r="B10" s="151" t="s">
        <v>290</v>
      </c>
      <c r="C10" s="151" t="s">
        <v>291</v>
      </c>
      <c r="D10" s="151" t="s">
        <v>292</v>
      </c>
      <c r="E10" s="151" t="s">
        <v>293</v>
      </c>
      <c r="F10" s="151" t="s">
        <v>294</v>
      </c>
      <c r="G10" s="151" t="s">
        <v>295</v>
      </c>
    </row>
    <row r="11" spans="1:7" ht="150" x14ac:dyDescent="0.25">
      <c r="A11" s="121">
        <v>1</v>
      </c>
      <c r="B11" s="177" t="s">
        <v>382</v>
      </c>
      <c r="C11" s="162" t="s">
        <v>383</v>
      </c>
      <c r="D11" s="121">
        <v>0</v>
      </c>
      <c r="E11" s="121">
        <v>0</v>
      </c>
      <c r="F11" s="121">
        <v>0</v>
      </c>
      <c r="G11" s="121">
        <v>0</v>
      </c>
    </row>
    <row r="12" spans="1:7" ht="18.75" x14ac:dyDescent="0.25">
      <c r="A12" s="266" t="s">
        <v>296</v>
      </c>
      <c r="B12" s="266"/>
      <c r="C12" s="266"/>
      <c r="D12" s="178">
        <v>0</v>
      </c>
      <c r="E12" s="178">
        <v>0</v>
      </c>
      <c r="F12" s="178">
        <v>0</v>
      </c>
      <c r="G12" s="178">
        <v>0</v>
      </c>
    </row>
    <row r="13" spans="1:7" ht="29.25" customHeight="1" x14ac:dyDescent="0.3">
      <c r="A13" s="173"/>
      <c r="B13" s="173"/>
      <c r="C13" s="173"/>
      <c r="D13" s="173"/>
      <c r="E13" s="173"/>
      <c r="F13" s="173"/>
      <c r="G13" s="173"/>
    </row>
    <row r="14" spans="1:7" ht="29.25" customHeight="1" x14ac:dyDescent="0.3">
      <c r="A14" s="173"/>
      <c r="B14" s="173"/>
      <c r="C14" s="173"/>
      <c r="D14" s="173"/>
      <c r="E14" s="173"/>
      <c r="F14" s="173"/>
      <c r="G14" s="173"/>
    </row>
    <row r="15" spans="1:7" ht="29.25" customHeight="1" x14ac:dyDescent="0.3">
      <c r="A15" s="262" t="s">
        <v>301</v>
      </c>
      <c r="B15" s="262"/>
      <c r="C15" s="262"/>
      <c r="D15" s="262"/>
      <c r="E15" s="262"/>
      <c r="F15" s="262"/>
      <c r="G15" s="262"/>
    </row>
    <row r="16" spans="1:7" ht="18.75" x14ac:dyDescent="0.3">
      <c r="A16" s="262" t="s">
        <v>381</v>
      </c>
      <c r="B16" s="262"/>
      <c r="C16" s="262"/>
      <c r="D16" s="262"/>
      <c r="E16" s="262"/>
      <c r="F16" s="262"/>
      <c r="G16" s="262"/>
    </row>
    <row r="17" spans="1:7" ht="18.75" x14ac:dyDescent="0.3">
      <c r="A17" s="263"/>
      <c r="B17" s="263"/>
      <c r="C17" s="263"/>
      <c r="D17" s="263"/>
      <c r="E17" s="263"/>
      <c r="F17" s="263"/>
      <c r="G17" s="263"/>
    </row>
    <row r="18" spans="1:7" ht="16.5" customHeight="1" x14ac:dyDescent="0.25">
      <c r="A18" s="264" t="s">
        <v>288</v>
      </c>
      <c r="B18" s="264"/>
      <c r="C18" s="264"/>
      <c r="D18" s="264"/>
      <c r="E18" s="264"/>
      <c r="F18" s="264"/>
      <c r="G18" s="264"/>
    </row>
    <row r="19" spans="1:7" ht="90" customHeight="1" x14ac:dyDescent="0.25">
      <c r="A19" s="265" t="s">
        <v>297</v>
      </c>
      <c r="B19" s="265"/>
      <c r="C19" s="265"/>
      <c r="D19" s="265"/>
      <c r="E19" s="265" t="s">
        <v>298</v>
      </c>
      <c r="F19" s="265"/>
      <c r="G19" s="265"/>
    </row>
    <row r="20" spans="1:7" ht="21" customHeight="1" x14ac:dyDescent="0.25">
      <c r="A20" s="257" t="s">
        <v>299</v>
      </c>
      <c r="B20" s="257"/>
      <c r="C20" s="257"/>
      <c r="D20" s="257"/>
      <c r="E20" s="258">
        <v>0</v>
      </c>
      <c r="F20" s="258"/>
      <c r="G20" s="258"/>
    </row>
    <row r="21" spans="1:7" ht="21" customHeight="1" x14ac:dyDescent="0.25">
      <c r="A21" s="257" t="s">
        <v>300</v>
      </c>
      <c r="B21" s="257"/>
      <c r="C21" s="257"/>
      <c r="D21" s="257"/>
      <c r="E21" s="258">
        <v>0</v>
      </c>
      <c r="F21" s="258"/>
      <c r="G21" s="258"/>
    </row>
    <row r="22" spans="1:7" ht="21" customHeight="1" x14ac:dyDescent="0.25">
      <c r="A22" s="259" t="s">
        <v>296</v>
      </c>
      <c r="B22" s="259"/>
      <c r="C22" s="259"/>
      <c r="D22" s="259"/>
      <c r="E22" s="260">
        <v>0</v>
      </c>
      <c r="F22" s="260"/>
      <c r="G22" s="260"/>
    </row>
    <row r="23" spans="1:7" ht="18.75" x14ac:dyDescent="0.3">
      <c r="A23" s="173"/>
      <c r="B23" s="173"/>
      <c r="C23" s="173"/>
      <c r="D23" s="173"/>
      <c r="E23" s="173"/>
      <c r="F23" s="173"/>
      <c r="G23" s="173"/>
    </row>
    <row r="24" spans="1:7" ht="18.75" x14ac:dyDescent="0.3">
      <c r="A24" s="179"/>
      <c r="B24" s="175"/>
      <c r="C24" s="175"/>
      <c r="D24" s="175"/>
      <c r="E24" s="175"/>
      <c r="F24" s="175"/>
      <c r="G24" s="175"/>
    </row>
    <row r="25" spans="1:7" ht="18.75" x14ac:dyDescent="0.3">
      <c r="A25" s="179"/>
      <c r="B25" s="175"/>
      <c r="C25" s="175"/>
      <c r="D25" s="175"/>
      <c r="E25" s="175"/>
      <c r="F25" s="175"/>
      <c r="G25" s="175"/>
    </row>
  </sheetData>
  <mergeCells count="16">
    <mergeCell ref="A21:D21"/>
    <mergeCell ref="E21:G21"/>
    <mergeCell ref="A22:D22"/>
    <mergeCell ref="E22:G22"/>
    <mergeCell ref="A7:G7"/>
    <mergeCell ref="A16:G16"/>
    <mergeCell ref="A17:G17"/>
    <mergeCell ref="A18:G18"/>
    <mergeCell ref="A19:D19"/>
    <mergeCell ref="E19:G19"/>
    <mergeCell ref="A20:D20"/>
    <mergeCell ref="E20:G20"/>
    <mergeCell ref="A8:G8"/>
    <mergeCell ref="A9:G9"/>
    <mergeCell ref="A12:C12"/>
    <mergeCell ref="A15:G15"/>
  </mergeCells>
  <pageMargins left="0.70866141732283472" right="0.70866141732283472" top="0.74803149606299213" bottom="0.74803149606299213" header="0.31496062992125984" footer="0.31496062992125984"/>
  <pageSetup paperSize="9" scale="45"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abSelected="1" view="pageBreakPreview" zoomScale="55" zoomScaleSheetLayoutView="55" workbookViewId="0">
      <selection activeCell="F3" sqref="F3"/>
    </sheetView>
  </sheetViews>
  <sheetFormatPr defaultRowHeight="15" x14ac:dyDescent="0.25"/>
  <cols>
    <col min="1" max="1" width="7.28515625" style="138" bestFit="1" customWidth="1"/>
    <col min="2" max="2" width="38.425781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387</v>
      </c>
    </row>
    <row r="2" spans="1:7" x14ac:dyDescent="0.25">
      <c r="A2" s="111"/>
      <c r="D2" s="113" t="str">
        <f>CONCATENATE("к решению Совета депутатов ",'Выбор поселения'!CY8," сельского поселения")</f>
        <v>к решению Совета депутатов Братского сельского поселения</v>
      </c>
    </row>
    <row r="3" spans="1:7" x14ac:dyDescent="0.25">
      <c r="A3" s="111"/>
      <c r="D3" s="113" t="str">
        <f>CONCATENATE("О бюджете ",'Выбор поселения'!CY8," сельского поселения на 2026 год")</f>
        <v>О бюджете Братского сельского поселения на 2026 год</v>
      </c>
    </row>
    <row r="4" spans="1:7" x14ac:dyDescent="0.25">
      <c r="A4" s="111"/>
      <c r="D4" s="137" t="str">
        <f>CONCATENATE("от « ",'Выбор поселения'!CY7," » декабря 2025 г. № ",'Выбор поселения'!CY6)</f>
        <v>от « 30 » декабря 2025 г. № 15</v>
      </c>
    </row>
    <row r="5" spans="1:7" x14ac:dyDescent="0.25">
      <c r="A5" s="111"/>
      <c r="B5" s="113"/>
      <c r="C5" s="120" t="s">
        <v>448</v>
      </c>
    </row>
    <row r="6" spans="1:7" x14ac:dyDescent="0.25">
      <c r="B6" s="139"/>
    </row>
    <row r="7" spans="1:7" ht="62.25" customHeight="1" x14ac:dyDescent="0.25">
      <c r="A7" s="261" t="s">
        <v>379</v>
      </c>
      <c r="B7" s="261"/>
      <c r="C7" s="261"/>
      <c r="D7" s="261"/>
      <c r="E7" s="157"/>
      <c r="F7" s="157"/>
      <c r="G7" s="157"/>
    </row>
    <row r="9" spans="1:7" ht="37.5" x14ac:dyDescent="0.3">
      <c r="A9" s="173"/>
      <c r="B9" s="174"/>
      <c r="C9" s="174"/>
      <c r="D9" s="176" t="s">
        <v>288</v>
      </c>
    </row>
    <row r="10" spans="1:7" ht="37.5" x14ac:dyDescent="0.25">
      <c r="A10" s="230" t="s">
        <v>289</v>
      </c>
      <c r="B10" s="232" t="s">
        <v>417</v>
      </c>
      <c r="C10" s="232" t="s">
        <v>418</v>
      </c>
      <c r="D10" s="232" t="s">
        <v>419</v>
      </c>
    </row>
    <row r="11" spans="1:7" ht="18.75" x14ac:dyDescent="0.25">
      <c r="A11" s="230">
        <v>1</v>
      </c>
      <c r="B11" s="232">
        <v>1</v>
      </c>
      <c r="C11" s="232">
        <v>2</v>
      </c>
      <c r="D11" s="232">
        <v>3</v>
      </c>
    </row>
    <row r="12" spans="1:7" ht="37.5" customHeight="1" x14ac:dyDescent="0.25">
      <c r="A12" s="121">
        <v>1</v>
      </c>
      <c r="B12" s="156" t="s">
        <v>420</v>
      </c>
      <c r="C12" s="156"/>
      <c r="D12" s="233">
        <v>157.47709</v>
      </c>
    </row>
    <row r="13" spans="1:7" ht="37.5" customHeight="1" x14ac:dyDescent="0.25">
      <c r="A13" s="121">
        <v>2</v>
      </c>
      <c r="B13" s="156" t="s">
        <v>421</v>
      </c>
      <c r="C13" s="156" t="s">
        <v>422</v>
      </c>
      <c r="D13" s="233">
        <v>0</v>
      </c>
    </row>
    <row r="14" spans="1:7" ht="37.5" customHeight="1" x14ac:dyDescent="0.25">
      <c r="A14" s="121">
        <v>3</v>
      </c>
      <c r="B14" s="156" t="s">
        <v>423</v>
      </c>
      <c r="C14" s="156" t="s">
        <v>424</v>
      </c>
      <c r="D14" s="233">
        <v>0</v>
      </c>
    </row>
    <row r="15" spans="1:7" ht="28.5" customHeight="1" x14ac:dyDescent="0.25">
      <c r="A15" s="121">
        <v>4</v>
      </c>
      <c r="B15" s="156" t="s">
        <v>425</v>
      </c>
      <c r="C15" s="156" t="s">
        <v>426</v>
      </c>
      <c r="D15" s="233">
        <v>0</v>
      </c>
    </row>
    <row r="16" spans="1:7" ht="93.75" x14ac:dyDescent="0.25">
      <c r="A16" s="121">
        <v>5</v>
      </c>
      <c r="B16" s="156" t="s">
        <v>427</v>
      </c>
      <c r="C16" s="156" t="s">
        <v>428</v>
      </c>
      <c r="D16" s="233">
        <v>0</v>
      </c>
    </row>
    <row r="17" spans="1:4" ht="112.5" x14ac:dyDescent="0.25">
      <c r="A17" s="121">
        <v>6</v>
      </c>
      <c r="B17" s="156" t="s">
        <v>429</v>
      </c>
      <c r="C17" s="156" t="s">
        <v>430</v>
      </c>
      <c r="D17" s="233">
        <v>0</v>
      </c>
    </row>
    <row r="18" spans="1:4" ht="112.5" x14ac:dyDescent="0.25">
      <c r="A18" s="121">
        <v>7</v>
      </c>
      <c r="B18" s="156" t="s">
        <v>431</v>
      </c>
      <c r="C18" s="156" t="s">
        <v>432</v>
      </c>
      <c r="D18" s="233">
        <v>0</v>
      </c>
    </row>
    <row r="19" spans="1:4" ht="112.5" x14ac:dyDescent="0.25">
      <c r="A19" s="121">
        <v>8</v>
      </c>
      <c r="B19" s="156" t="s">
        <v>433</v>
      </c>
      <c r="C19" s="156" t="s">
        <v>434</v>
      </c>
      <c r="D19" s="233">
        <v>0</v>
      </c>
    </row>
    <row r="20" spans="1:4" ht="18.75" x14ac:dyDescent="0.25">
      <c r="A20" s="121">
        <v>9</v>
      </c>
      <c r="B20" s="156" t="s">
        <v>435</v>
      </c>
      <c r="C20" s="156" t="s">
        <v>422</v>
      </c>
      <c r="D20" s="233">
        <v>157.47709</v>
      </c>
    </row>
    <row r="21" spans="1:4" ht="56.25" x14ac:dyDescent="0.25">
      <c r="A21" s="121">
        <v>10</v>
      </c>
      <c r="B21" s="156" t="s">
        <v>302</v>
      </c>
      <c r="C21" s="156" t="s">
        <v>436</v>
      </c>
      <c r="D21" s="233">
        <v>157.47709</v>
      </c>
    </row>
    <row r="22" spans="1:4" ht="93.75" x14ac:dyDescent="0.25">
      <c r="A22" s="121">
        <v>11</v>
      </c>
      <c r="B22" s="156" t="s">
        <v>437</v>
      </c>
      <c r="C22" s="156" t="s">
        <v>438</v>
      </c>
      <c r="D22" s="233">
        <v>157.47709</v>
      </c>
    </row>
    <row r="23" spans="1:4" ht="56.25" x14ac:dyDescent="0.25">
      <c r="A23" s="121">
        <v>12</v>
      </c>
      <c r="B23" s="156" t="s">
        <v>439</v>
      </c>
      <c r="C23" s="156" t="s">
        <v>440</v>
      </c>
      <c r="D23" s="233">
        <v>0</v>
      </c>
    </row>
    <row r="24" spans="1:4" ht="75" x14ac:dyDescent="0.25">
      <c r="A24" s="121">
        <v>13</v>
      </c>
      <c r="B24" s="156" t="s">
        <v>441</v>
      </c>
      <c r="C24" s="156" t="s">
        <v>442</v>
      </c>
      <c r="D24" s="233">
        <v>0</v>
      </c>
    </row>
    <row r="25" spans="1:4" ht="93.75" x14ac:dyDescent="0.25">
      <c r="A25" s="121">
        <v>14</v>
      </c>
      <c r="B25" s="156" t="s">
        <v>443</v>
      </c>
      <c r="C25" s="156" t="s">
        <v>444</v>
      </c>
      <c r="D25" s="233">
        <v>0</v>
      </c>
    </row>
    <row r="26" spans="1:4" ht="75" x14ac:dyDescent="0.25">
      <c r="A26" s="121">
        <v>15</v>
      </c>
      <c r="B26" s="156" t="s">
        <v>445</v>
      </c>
      <c r="C26" s="156" t="s">
        <v>446</v>
      </c>
      <c r="D26" s="233">
        <v>0</v>
      </c>
    </row>
  </sheetData>
  <mergeCells count="1">
    <mergeCell ref="A7:D7"/>
  </mergeCells>
  <pageMargins left="0.70866141732283472" right="0.70866141732283472" top="0.74803149606299213" bottom="0.74803149606299213" header="0.31496062992125984" footer="0.31496062992125984"/>
  <pageSetup paperSize="9" scale="49"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view="pageBreakPreview" zoomScale="55" zoomScaleSheetLayoutView="55" workbookViewId="0">
      <selection activeCell="C15" sqref="C15"/>
    </sheetView>
  </sheetViews>
  <sheetFormatPr defaultRowHeight="15" x14ac:dyDescent="0.25"/>
  <cols>
    <col min="1" max="1" width="7.28515625" style="138" bestFit="1" customWidth="1"/>
    <col min="2" max="2" width="41.285156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279</v>
      </c>
    </row>
    <row r="2" spans="1:7" x14ac:dyDescent="0.25">
      <c r="A2" s="111"/>
      <c r="D2" s="113" t="str">
        <f>CONCATENATE("к решению Совета депутатов ",'Выбор поселения'!CY8," сельского поселения")</f>
        <v>к решению Совета депутатов Братского сельского поселения</v>
      </c>
    </row>
    <row r="3" spans="1:7" x14ac:dyDescent="0.25">
      <c r="A3" s="111"/>
      <c r="D3" s="113" t="str">
        <f>CONCATENATE("О бюджете ",'Выбор поселения'!CY8," сельского поселения на 2026 год")</f>
        <v>О бюджете Братского сельского поселения на 2026 год</v>
      </c>
    </row>
    <row r="4" spans="1:7" x14ac:dyDescent="0.25">
      <c r="A4" s="111"/>
      <c r="D4" s="137" t="str">
        <f>CONCATENATE("от « ",'Выбор поселения'!CY7," » декабря 2025 г. № ",'Выбор поселения'!CY6)</f>
        <v>от « 30 » декабря 2025 г. № 15</v>
      </c>
    </row>
    <row r="5" spans="1:7" x14ac:dyDescent="0.25">
      <c r="A5" s="111"/>
      <c r="B5" s="113"/>
    </row>
    <row r="6" spans="1:7" x14ac:dyDescent="0.25">
      <c r="B6" s="139"/>
    </row>
    <row r="7" spans="1:7" ht="20.25" x14ac:dyDescent="0.25">
      <c r="A7" s="261" t="s">
        <v>386</v>
      </c>
      <c r="B7" s="261"/>
      <c r="C7" s="261"/>
      <c r="D7" s="261"/>
      <c r="E7" s="157"/>
      <c r="F7" s="157"/>
      <c r="G7" s="157"/>
    </row>
    <row r="9" spans="1:7" ht="56.25" x14ac:dyDescent="0.25">
      <c r="A9" s="151" t="s">
        <v>289</v>
      </c>
      <c r="B9" s="151" t="s">
        <v>303</v>
      </c>
      <c r="C9" s="151" t="s">
        <v>304</v>
      </c>
      <c r="D9" s="151" t="s">
        <v>305</v>
      </c>
    </row>
    <row r="10" spans="1:7" ht="18.75" x14ac:dyDescent="0.25">
      <c r="A10" s="151">
        <v>1</v>
      </c>
      <c r="B10" s="151">
        <v>2</v>
      </c>
      <c r="C10" s="151">
        <v>3</v>
      </c>
      <c r="D10" s="151">
        <v>4</v>
      </c>
    </row>
    <row r="11" spans="1:7" ht="18.75" x14ac:dyDescent="0.25">
      <c r="A11" s="121">
        <v>1</v>
      </c>
      <c r="B11" s="121" t="s">
        <v>306</v>
      </c>
      <c r="C11" s="168" t="s">
        <v>307</v>
      </c>
      <c r="D11" s="169">
        <v>100</v>
      </c>
    </row>
    <row r="12" spans="1:7" ht="37.5" x14ac:dyDescent="0.25">
      <c r="A12" s="121">
        <v>2</v>
      </c>
      <c r="B12" s="121" t="s">
        <v>308</v>
      </c>
      <c r="C12" s="168" t="s">
        <v>309</v>
      </c>
      <c r="D12" s="169">
        <v>100</v>
      </c>
    </row>
    <row r="13" spans="1:7" ht="18.75" x14ac:dyDescent="0.25">
      <c r="A13" s="121">
        <v>3</v>
      </c>
      <c r="B13" s="121" t="s">
        <v>310</v>
      </c>
      <c r="C13" s="168" t="s">
        <v>311</v>
      </c>
      <c r="D13" s="169">
        <v>100</v>
      </c>
    </row>
    <row r="14" spans="1:7" ht="18.75" x14ac:dyDescent="0.25">
      <c r="A14" s="121">
        <v>4</v>
      </c>
      <c r="B14" s="121" t="s">
        <v>312</v>
      </c>
      <c r="C14" s="168" t="s">
        <v>313</v>
      </c>
      <c r="D14" s="169">
        <v>100</v>
      </c>
    </row>
    <row r="15" spans="1:7" ht="75" x14ac:dyDescent="0.25">
      <c r="A15" s="121">
        <v>5</v>
      </c>
      <c r="B15" s="121" t="s">
        <v>314</v>
      </c>
      <c r="C15" s="168" t="s">
        <v>315</v>
      </c>
      <c r="D15" s="169">
        <v>100</v>
      </c>
    </row>
    <row r="16" spans="1:7" ht="75" x14ac:dyDescent="0.25">
      <c r="A16" s="121">
        <v>6</v>
      </c>
      <c r="B16" s="121" t="s">
        <v>316</v>
      </c>
      <c r="C16" s="168" t="s">
        <v>317</v>
      </c>
      <c r="D16" s="169">
        <v>100</v>
      </c>
    </row>
    <row r="17" spans="1:4" ht="75" x14ac:dyDescent="0.25">
      <c r="A17" s="121">
        <v>7</v>
      </c>
      <c r="B17" s="121" t="s">
        <v>318</v>
      </c>
      <c r="C17" s="168" t="s">
        <v>315</v>
      </c>
      <c r="D17" s="169">
        <v>100</v>
      </c>
    </row>
    <row r="18" spans="1:4" ht="75" x14ac:dyDescent="0.25">
      <c r="A18" s="121">
        <v>8</v>
      </c>
      <c r="B18" s="121" t="s">
        <v>319</v>
      </c>
      <c r="C18" s="168" t="s">
        <v>320</v>
      </c>
      <c r="D18" s="169">
        <v>100</v>
      </c>
    </row>
    <row r="19" spans="1:4" ht="37.5" x14ac:dyDescent="0.25">
      <c r="A19" s="170">
        <v>9</v>
      </c>
      <c r="B19" s="170" t="s">
        <v>321</v>
      </c>
      <c r="C19" s="171" t="s">
        <v>322</v>
      </c>
      <c r="D19" s="172">
        <v>50</v>
      </c>
    </row>
    <row r="20" spans="1:4" ht="56.25" x14ac:dyDescent="0.25">
      <c r="A20" s="121">
        <v>10</v>
      </c>
      <c r="B20" s="121" t="s">
        <v>323</v>
      </c>
      <c r="C20" s="168" t="s">
        <v>324</v>
      </c>
      <c r="D20" s="169">
        <v>100</v>
      </c>
    </row>
    <row r="21" spans="1:4" ht="37.5" x14ac:dyDescent="0.25">
      <c r="A21" s="121">
        <v>11</v>
      </c>
      <c r="B21" s="121" t="s">
        <v>325</v>
      </c>
      <c r="C21" s="168" t="s">
        <v>326</v>
      </c>
      <c r="D21" s="169">
        <v>100</v>
      </c>
    </row>
    <row r="22" spans="1:4" ht="18.75" x14ac:dyDescent="0.25">
      <c r="A22" s="121">
        <v>12</v>
      </c>
      <c r="B22" s="121" t="s">
        <v>327</v>
      </c>
      <c r="C22" s="168" t="s">
        <v>328</v>
      </c>
      <c r="D22" s="169">
        <v>100</v>
      </c>
    </row>
    <row r="23" spans="1:4" ht="18.75" x14ac:dyDescent="0.25">
      <c r="A23" s="121">
        <v>13</v>
      </c>
      <c r="B23" s="121" t="s">
        <v>329</v>
      </c>
      <c r="C23" s="168" t="s">
        <v>330</v>
      </c>
      <c r="D23" s="169">
        <v>100</v>
      </c>
    </row>
  </sheetData>
  <mergeCells count="1">
    <mergeCell ref="A7:D7"/>
  </mergeCells>
  <pageMargins left="0.70866141732283472" right="0.70866141732283472" top="0.74803149606299213" bottom="0.74803149606299213" header="0.31496062992125984" footer="0.31496062992125984"/>
  <pageSetup paperSize="9" scale="48"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view="pageBreakPreview" zoomScale="70" zoomScaleSheetLayoutView="70" workbookViewId="0">
      <selection activeCell="C12" sqref="C12"/>
    </sheetView>
  </sheetViews>
  <sheetFormatPr defaultRowHeight="15" x14ac:dyDescent="0.25"/>
  <cols>
    <col min="1" max="1" width="7.28515625" style="138" bestFit="1" customWidth="1"/>
    <col min="2" max="2" width="120" style="120" customWidth="1"/>
    <col min="3" max="3" width="43.85546875" style="120" customWidth="1"/>
    <col min="4" max="4" width="20.85546875" style="120" customWidth="1"/>
    <col min="5" max="6" width="24.140625" style="120" customWidth="1"/>
    <col min="7" max="254" width="9.140625" style="120"/>
    <col min="255" max="255" width="30.28515625" style="120" customWidth="1"/>
    <col min="256" max="256" width="93.28515625" style="120" customWidth="1"/>
    <col min="257" max="257" width="22.5703125" style="120" customWidth="1"/>
    <col min="258" max="510" width="9.140625" style="120"/>
    <col min="511" max="511" width="30.28515625" style="120" customWidth="1"/>
    <col min="512" max="512" width="93.28515625" style="120" customWidth="1"/>
    <col min="513" max="513" width="22.5703125" style="120" customWidth="1"/>
    <col min="514" max="766" width="9.140625" style="120"/>
    <col min="767" max="767" width="30.28515625" style="120" customWidth="1"/>
    <col min="768" max="768" width="93.28515625" style="120" customWidth="1"/>
    <col min="769" max="769" width="22.5703125" style="120" customWidth="1"/>
    <col min="770" max="1022" width="9.140625" style="120"/>
    <col min="1023" max="1023" width="30.28515625" style="120" customWidth="1"/>
    <col min="1024" max="1024" width="93.28515625" style="120" customWidth="1"/>
    <col min="1025" max="1025" width="22.5703125" style="120" customWidth="1"/>
    <col min="1026" max="1278" width="9.140625" style="120"/>
    <col min="1279" max="1279" width="30.28515625" style="120" customWidth="1"/>
    <col min="1280" max="1280" width="93.28515625" style="120" customWidth="1"/>
    <col min="1281" max="1281" width="22.5703125" style="120" customWidth="1"/>
    <col min="1282" max="1534" width="9.140625" style="120"/>
    <col min="1535" max="1535" width="30.28515625" style="120" customWidth="1"/>
    <col min="1536" max="1536" width="93.28515625" style="120" customWidth="1"/>
    <col min="1537" max="1537" width="22.5703125" style="120" customWidth="1"/>
    <col min="1538" max="1790" width="9.140625" style="120"/>
    <col min="1791" max="1791" width="30.28515625" style="120" customWidth="1"/>
    <col min="1792" max="1792" width="93.28515625" style="120" customWidth="1"/>
    <col min="1793" max="1793" width="22.5703125" style="120" customWidth="1"/>
    <col min="1794" max="2046" width="9.140625" style="120"/>
    <col min="2047" max="2047" width="30.28515625" style="120" customWidth="1"/>
    <col min="2048" max="2048" width="93.28515625" style="120" customWidth="1"/>
    <col min="2049" max="2049" width="22.5703125" style="120" customWidth="1"/>
    <col min="2050" max="2302" width="9.140625" style="120"/>
    <col min="2303" max="2303" width="30.28515625" style="120" customWidth="1"/>
    <col min="2304" max="2304" width="93.28515625" style="120" customWidth="1"/>
    <col min="2305" max="2305" width="22.5703125" style="120" customWidth="1"/>
    <col min="2306" max="2558" width="9.140625" style="120"/>
    <col min="2559" max="2559" width="30.28515625" style="120" customWidth="1"/>
    <col min="2560" max="2560" width="93.28515625" style="120" customWidth="1"/>
    <col min="2561" max="2561" width="22.5703125" style="120" customWidth="1"/>
    <col min="2562" max="2814" width="9.140625" style="120"/>
    <col min="2815" max="2815" width="30.28515625" style="120" customWidth="1"/>
    <col min="2816" max="2816" width="93.28515625" style="120" customWidth="1"/>
    <col min="2817" max="2817" width="22.5703125" style="120" customWidth="1"/>
    <col min="2818" max="3070" width="9.140625" style="120"/>
    <col min="3071" max="3071" width="30.28515625" style="120" customWidth="1"/>
    <col min="3072" max="3072" width="93.28515625" style="120" customWidth="1"/>
    <col min="3073" max="3073" width="22.5703125" style="120" customWidth="1"/>
    <col min="3074" max="3326" width="9.140625" style="120"/>
    <col min="3327" max="3327" width="30.28515625" style="120" customWidth="1"/>
    <col min="3328" max="3328" width="93.28515625" style="120" customWidth="1"/>
    <col min="3329" max="3329" width="22.5703125" style="120" customWidth="1"/>
    <col min="3330" max="3582" width="9.140625" style="120"/>
    <col min="3583" max="3583" width="30.28515625" style="120" customWidth="1"/>
    <col min="3584" max="3584" width="93.28515625" style="120" customWidth="1"/>
    <col min="3585" max="3585" width="22.5703125" style="120" customWidth="1"/>
    <col min="3586" max="3838" width="9.140625" style="120"/>
    <col min="3839" max="3839" width="30.28515625" style="120" customWidth="1"/>
    <col min="3840" max="3840" width="93.28515625" style="120" customWidth="1"/>
    <col min="3841" max="3841" width="22.5703125" style="120" customWidth="1"/>
    <col min="3842" max="4094" width="9.140625" style="120"/>
    <col min="4095" max="4095" width="30.28515625" style="120" customWidth="1"/>
    <col min="4096" max="4096" width="93.28515625" style="120" customWidth="1"/>
    <col min="4097" max="4097" width="22.5703125" style="120" customWidth="1"/>
    <col min="4098" max="4350" width="9.140625" style="120"/>
    <col min="4351" max="4351" width="30.28515625" style="120" customWidth="1"/>
    <col min="4352" max="4352" width="93.28515625" style="120" customWidth="1"/>
    <col min="4353" max="4353" width="22.5703125" style="120" customWidth="1"/>
    <col min="4354" max="4606" width="9.140625" style="120"/>
    <col min="4607" max="4607" width="30.28515625" style="120" customWidth="1"/>
    <col min="4608" max="4608" width="93.28515625" style="120" customWidth="1"/>
    <col min="4609" max="4609" width="22.5703125" style="120" customWidth="1"/>
    <col min="4610" max="4862" width="9.140625" style="120"/>
    <col min="4863" max="4863" width="30.28515625" style="120" customWidth="1"/>
    <col min="4864" max="4864" width="93.28515625" style="120" customWidth="1"/>
    <col min="4865" max="4865" width="22.5703125" style="120" customWidth="1"/>
    <col min="4866" max="5118" width="9.140625" style="120"/>
    <col min="5119" max="5119" width="30.28515625" style="120" customWidth="1"/>
    <col min="5120" max="5120" width="93.28515625" style="120" customWidth="1"/>
    <col min="5121" max="5121" width="22.5703125" style="120" customWidth="1"/>
    <col min="5122" max="5374" width="9.140625" style="120"/>
    <col min="5375" max="5375" width="30.28515625" style="120" customWidth="1"/>
    <col min="5376" max="5376" width="93.28515625" style="120" customWidth="1"/>
    <col min="5377" max="5377" width="22.5703125" style="120" customWidth="1"/>
    <col min="5378" max="5630" width="9.140625" style="120"/>
    <col min="5631" max="5631" width="30.28515625" style="120" customWidth="1"/>
    <col min="5632" max="5632" width="93.28515625" style="120" customWidth="1"/>
    <col min="5633" max="5633" width="22.5703125" style="120" customWidth="1"/>
    <col min="5634" max="5886" width="9.140625" style="120"/>
    <col min="5887" max="5887" width="30.28515625" style="120" customWidth="1"/>
    <col min="5888" max="5888" width="93.28515625" style="120" customWidth="1"/>
    <col min="5889" max="5889" width="22.5703125" style="120" customWidth="1"/>
    <col min="5890" max="6142" width="9.140625" style="120"/>
    <col min="6143" max="6143" width="30.28515625" style="120" customWidth="1"/>
    <col min="6144" max="6144" width="93.28515625" style="120" customWidth="1"/>
    <col min="6145" max="6145" width="22.5703125" style="120" customWidth="1"/>
    <col min="6146" max="6398" width="9.140625" style="120"/>
    <col min="6399" max="6399" width="30.28515625" style="120" customWidth="1"/>
    <col min="6400" max="6400" width="93.28515625" style="120" customWidth="1"/>
    <col min="6401" max="6401" width="22.5703125" style="120" customWidth="1"/>
    <col min="6402" max="6654" width="9.140625" style="120"/>
    <col min="6655" max="6655" width="30.28515625" style="120" customWidth="1"/>
    <col min="6656" max="6656" width="93.28515625" style="120" customWidth="1"/>
    <col min="6657" max="6657" width="22.5703125" style="120" customWidth="1"/>
    <col min="6658" max="6910" width="9.140625" style="120"/>
    <col min="6911" max="6911" width="30.28515625" style="120" customWidth="1"/>
    <col min="6912" max="6912" width="93.28515625" style="120" customWidth="1"/>
    <col min="6913" max="6913" width="22.5703125" style="120" customWidth="1"/>
    <col min="6914" max="7166" width="9.140625" style="120"/>
    <col min="7167" max="7167" width="30.28515625" style="120" customWidth="1"/>
    <col min="7168" max="7168" width="93.28515625" style="120" customWidth="1"/>
    <col min="7169" max="7169" width="22.5703125" style="120" customWidth="1"/>
    <col min="7170" max="7422" width="9.140625" style="120"/>
    <col min="7423" max="7423" width="30.28515625" style="120" customWidth="1"/>
    <col min="7424" max="7424" width="93.28515625" style="120" customWidth="1"/>
    <col min="7425" max="7425" width="22.5703125" style="120" customWidth="1"/>
    <col min="7426" max="7678" width="9.140625" style="120"/>
    <col min="7679" max="7679" width="30.28515625" style="120" customWidth="1"/>
    <col min="7680" max="7680" width="93.28515625" style="120" customWidth="1"/>
    <col min="7681" max="7681" width="22.5703125" style="120" customWidth="1"/>
    <col min="7682" max="7934" width="9.140625" style="120"/>
    <col min="7935" max="7935" width="30.28515625" style="120" customWidth="1"/>
    <col min="7936" max="7936" width="93.28515625" style="120" customWidth="1"/>
    <col min="7937" max="7937" width="22.5703125" style="120" customWidth="1"/>
    <col min="7938" max="8190" width="9.140625" style="120"/>
    <col min="8191" max="8191" width="30.28515625" style="120" customWidth="1"/>
    <col min="8192" max="8192" width="93.28515625" style="120" customWidth="1"/>
    <col min="8193" max="8193" width="22.5703125" style="120" customWidth="1"/>
    <col min="8194" max="8446" width="9.140625" style="120"/>
    <col min="8447" max="8447" width="30.28515625" style="120" customWidth="1"/>
    <col min="8448" max="8448" width="93.28515625" style="120" customWidth="1"/>
    <col min="8449" max="8449" width="22.5703125" style="120" customWidth="1"/>
    <col min="8450" max="8702" width="9.140625" style="120"/>
    <col min="8703" max="8703" width="30.28515625" style="120" customWidth="1"/>
    <col min="8704" max="8704" width="93.28515625" style="120" customWidth="1"/>
    <col min="8705" max="8705" width="22.5703125" style="120" customWidth="1"/>
    <col min="8706" max="8958" width="9.140625" style="120"/>
    <col min="8959" max="8959" width="30.28515625" style="120" customWidth="1"/>
    <col min="8960" max="8960" width="93.28515625" style="120" customWidth="1"/>
    <col min="8961" max="8961" width="22.5703125" style="120" customWidth="1"/>
    <col min="8962" max="9214" width="9.140625" style="120"/>
    <col min="9215" max="9215" width="30.28515625" style="120" customWidth="1"/>
    <col min="9216" max="9216" width="93.28515625" style="120" customWidth="1"/>
    <col min="9217" max="9217" width="22.5703125" style="120" customWidth="1"/>
    <col min="9218" max="9470" width="9.140625" style="120"/>
    <col min="9471" max="9471" width="30.28515625" style="120" customWidth="1"/>
    <col min="9472" max="9472" width="93.28515625" style="120" customWidth="1"/>
    <col min="9473" max="9473" width="22.5703125" style="120" customWidth="1"/>
    <col min="9474" max="9726" width="9.140625" style="120"/>
    <col min="9727" max="9727" width="30.28515625" style="120" customWidth="1"/>
    <col min="9728" max="9728" width="93.28515625" style="120" customWidth="1"/>
    <col min="9729" max="9729" width="22.5703125" style="120" customWidth="1"/>
    <col min="9730" max="9982" width="9.140625" style="120"/>
    <col min="9983" max="9983" width="30.28515625" style="120" customWidth="1"/>
    <col min="9984" max="9984" width="93.28515625" style="120" customWidth="1"/>
    <col min="9985" max="9985" width="22.5703125" style="120" customWidth="1"/>
    <col min="9986" max="10238" width="9.140625" style="120"/>
    <col min="10239" max="10239" width="30.28515625" style="120" customWidth="1"/>
    <col min="10240" max="10240" width="93.28515625" style="120" customWidth="1"/>
    <col min="10241" max="10241" width="22.5703125" style="120" customWidth="1"/>
    <col min="10242" max="10494" width="9.140625" style="120"/>
    <col min="10495" max="10495" width="30.28515625" style="120" customWidth="1"/>
    <col min="10496" max="10496" width="93.28515625" style="120" customWidth="1"/>
    <col min="10497" max="10497" width="22.5703125" style="120" customWidth="1"/>
    <col min="10498" max="10750" width="9.140625" style="120"/>
    <col min="10751" max="10751" width="30.28515625" style="120" customWidth="1"/>
    <col min="10752" max="10752" width="93.28515625" style="120" customWidth="1"/>
    <col min="10753" max="10753" width="22.5703125" style="120" customWidth="1"/>
    <col min="10754" max="11006" width="9.140625" style="120"/>
    <col min="11007" max="11007" width="30.28515625" style="120" customWidth="1"/>
    <col min="11008" max="11008" width="93.28515625" style="120" customWidth="1"/>
    <col min="11009" max="11009" width="22.5703125" style="120" customWidth="1"/>
    <col min="11010" max="11262" width="9.140625" style="120"/>
    <col min="11263" max="11263" width="30.28515625" style="120" customWidth="1"/>
    <col min="11264" max="11264" width="93.28515625" style="120" customWidth="1"/>
    <col min="11265" max="11265" width="22.5703125" style="120" customWidth="1"/>
    <col min="11266" max="11518" width="9.140625" style="120"/>
    <col min="11519" max="11519" width="30.28515625" style="120" customWidth="1"/>
    <col min="11520" max="11520" width="93.28515625" style="120" customWidth="1"/>
    <col min="11521" max="11521" width="22.5703125" style="120" customWidth="1"/>
    <col min="11522" max="11774" width="9.140625" style="120"/>
    <col min="11775" max="11775" width="30.28515625" style="120" customWidth="1"/>
    <col min="11776" max="11776" width="93.28515625" style="120" customWidth="1"/>
    <col min="11777" max="11777" width="22.5703125" style="120" customWidth="1"/>
    <col min="11778" max="12030" width="9.140625" style="120"/>
    <col min="12031" max="12031" width="30.28515625" style="120" customWidth="1"/>
    <col min="12032" max="12032" width="93.28515625" style="120" customWidth="1"/>
    <col min="12033" max="12033" width="22.5703125" style="120" customWidth="1"/>
    <col min="12034" max="12286" width="9.140625" style="120"/>
    <col min="12287" max="12287" width="30.28515625" style="120" customWidth="1"/>
    <col min="12288" max="12288" width="93.28515625" style="120" customWidth="1"/>
    <col min="12289" max="12289" width="22.5703125" style="120" customWidth="1"/>
    <col min="12290" max="12542" width="9.140625" style="120"/>
    <col min="12543" max="12543" width="30.28515625" style="120" customWidth="1"/>
    <col min="12544" max="12544" width="93.28515625" style="120" customWidth="1"/>
    <col min="12545" max="12545" width="22.5703125" style="120" customWidth="1"/>
    <col min="12546" max="12798" width="9.140625" style="120"/>
    <col min="12799" max="12799" width="30.28515625" style="120" customWidth="1"/>
    <col min="12800" max="12800" width="93.28515625" style="120" customWidth="1"/>
    <col min="12801" max="12801" width="22.5703125" style="120" customWidth="1"/>
    <col min="12802" max="13054" width="9.140625" style="120"/>
    <col min="13055" max="13055" width="30.28515625" style="120" customWidth="1"/>
    <col min="13056" max="13056" width="93.28515625" style="120" customWidth="1"/>
    <col min="13057" max="13057" width="22.5703125" style="120" customWidth="1"/>
    <col min="13058" max="13310" width="9.140625" style="120"/>
    <col min="13311" max="13311" width="30.28515625" style="120" customWidth="1"/>
    <col min="13312" max="13312" width="93.28515625" style="120" customWidth="1"/>
    <col min="13313" max="13313" width="22.5703125" style="120" customWidth="1"/>
    <col min="13314" max="13566" width="9.140625" style="120"/>
    <col min="13567" max="13567" width="30.28515625" style="120" customWidth="1"/>
    <col min="13568" max="13568" width="93.28515625" style="120" customWidth="1"/>
    <col min="13569" max="13569" width="22.5703125" style="120" customWidth="1"/>
    <col min="13570" max="13822" width="9.140625" style="120"/>
    <col min="13823" max="13823" width="30.28515625" style="120" customWidth="1"/>
    <col min="13824" max="13824" width="93.28515625" style="120" customWidth="1"/>
    <col min="13825" max="13825" width="22.5703125" style="120" customWidth="1"/>
    <col min="13826" max="14078" width="9.140625" style="120"/>
    <col min="14079" max="14079" width="30.28515625" style="120" customWidth="1"/>
    <col min="14080" max="14080" width="93.28515625" style="120" customWidth="1"/>
    <col min="14081" max="14081" width="22.5703125" style="120" customWidth="1"/>
    <col min="14082" max="14334" width="9.140625" style="120"/>
    <col min="14335" max="14335" width="30.28515625" style="120" customWidth="1"/>
    <col min="14336" max="14336" width="93.28515625" style="120" customWidth="1"/>
    <col min="14337" max="14337" width="22.5703125" style="120" customWidth="1"/>
    <col min="14338" max="14590" width="9.140625" style="120"/>
    <col min="14591" max="14591" width="30.28515625" style="120" customWidth="1"/>
    <col min="14592" max="14592" width="93.28515625" style="120" customWidth="1"/>
    <col min="14593" max="14593" width="22.5703125" style="120" customWidth="1"/>
    <col min="14594" max="14846" width="9.140625" style="120"/>
    <col min="14847" max="14847" width="30.28515625" style="120" customWidth="1"/>
    <col min="14848" max="14848" width="93.28515625" style="120" customWidth="1"/>
    <col min="14849" max="14849" width="22.5703125" style="120" customWidth="1"/>
    <col min="14850" max="15102" width="9.140625" style="120"/>
    <col min="15103" max="15103" width="30.28515625" style="120" customWidth="1"/>
    <col min="15104" max="15104" width="93.28515625" style="120" customWidth="1"/>
    <col min="15105" max="15105" width="22.5703125" style="120" customWidth="1"/>
    <col min="15106" max="15358" width="9.140625" style="120"/>
    <col min="15359" max="15359" width="30.28515625" style="120" customWidth="1"/>
    <col min="15360" max="15360" width="93.28515625" style="120" customWidth="1"/>
    <col min="15361" max="15361" width="22.5703125" style="120" customWidth="1"/>
    <col min="15362" max="15614" width="9.140625" style="120"/>
    <col min="15615" max="15615" width="30.28515625" style="120" customWidth="1"/>
    <col min="15616" max="15616" width="93.28515625" style="120" customWidth="1"/>
    <col min="15617" max="15617" width="22.5703125" style="120" customWidth="1"/>
    <col min="15618" max="15870" width="9.140625" style="120"/>
    <col min="15871" max="15871" width="30.28515625" style="120" customWidth="1"/>
    <col min="15872" max="15872" width="93.28515625" style="120" customWidth="1"/>
    <col min="15873" max="15873" width="22.5703125" style="120" customWidth="1"/>
    <col min="15874" max="16126" width="9.140625" style="120"/>
    <col min="16127" max="16127" width="30.28515625" style="120" customWidth="1"/>
    <col min="16128" max="16128" width="93.28515625" style="120" customWidth="1"/>
    <col min="16129" max="16129" width="22.5703125" style="120" customWidth="1"/>
    <col min="16130" max="16384" width="9.140625" style="120"/>
  </cols>
  <sheetData>
    <row r="1" spans="1:6" x14ac:dyDescent="0.25">
      <c r="A1" s="111"/>
      <c r="C1" s="113" t="s">
        <v>287</v>
      </c>
    </row>
    <row r="2" spans="1:6" x14ac:dyDescent="0.25">
      <c r="A2" s="111"/>
      <c r="C2" s="113" t="str">
        <f>CONCATENATE("к решению Совета депутатов ",'Выбор поселения'!CY8," сельского поселения")</f>
        <v>к решению Совета депутатов Братского сельского поселения</v>
      </c>
    </row>
    <row r="3" spans="1:6" x14ac:dyDescent="0.25">
      <c r="A3" s="111"/>
      <c r="C3" s="113" t="str">
        <f>CONCATENATE("О бюджете ",'Выбор поселения'!CY8," сельского поселения на 2026 год")</f>
        <v>О бюджете Братского сельского поселения на 2026 год</v>
      </c>
    </row>
    <row r="4" spans="1:6" x14ac:dyDescent="0.25">
      <c r="A4" s="111"/>
      <c r="C4" s="137" t="str">
        <f>CONCATENATE("от « ",'Выбор поселения'!CY7," » декабря 2025 г. № ",'Выбор поселения'!CY6)</f>
        <v>от « 30 » декабря 2025 г. № 15</v>
      </c>
    </row>
    <row r="5" spans="1:6" x14ac:dyDescent="0.25">
      <c r="A5" s="111"/>
      <c r="B5" s="113"/>
    </row>
    <row r="6" spans="1:6" x14ac:dyDescent="0.25">
      <c r="B6" s="139"/>
    </row>
    <row r="7" spans="1:6" ht="20.25" customHeight="1" x14ac:dyDescent="0.25">
      <c r="A7" s="261" t="s">
        <v>384</v>
      </c>
      <c r="B7" s="261"/>
      <c r="C7" s="261"/>
      <c r="D7" s="157"/>
      <c r="E7" s="157"/>
      <c r="F7" s="157"/>
    </row>
    <row r="9" spans="1:6" ht="18.75" x14ac:dyDescent="0.25">
      <c r="A9" s="158" t="s">
        <v>331</v>
      </c>
      <c r="B9" s="159" t="s">
        <v>336</v>
      </c>
      <c r="C9" s="160" t="s">
        <v>385</v>
      </c>
      <c r="D9" s="167"/>
    </row>
    <row r="10" spans="1:6" ht="18.75" x14ac:dyDescent="0.25">
      <c r="A10" s="158">
        <v>1</v>
      </c>
      <c r="B10" s="159">
        <v>2</v>
      </c>
      <c r="C10" s="159">
        <v>3</v>
      </c>
    </row>
    <row r="11" spans="1:6" ht="61.5" customHeight="1" x14ac:dyDescent="0.25">
      <c r="A11" s="161">
        <v>1</v>
      </c>
      <c r="B11" s="162" t="str">
        <f>'Выбор поселения'!CY96</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11" s="163">
        <v>2185.5820740221202</v>
      </c>
    </row>
    <row r="12" spans="1:6" ht="56.25" x14ac:dyDescent="0.25">
      <c r="A12" s="161">
        <v>2</v>
      </c>
      <c r="B12" s="162" t="s">
        <v>337</v>
      </c>
      <c r="C12" s="231">
        <v>8100.6687700000002</v>
      </c>
    </row>
    <row r="13" spans="1:6" ht="50.25" hidden="1" customHeight="1" x14ac:dyDescent="0.25">
      <c r="A13" s="161">
        <v>3</v>
      </c>
      <c r="B13" s="162" t="str">
        <f>'Выбор поселения'!CY98</f>
        <v xml:space="preserve"> </v>
      </c>
      <c r="C13" s="163">
        <v>0</v>
      </c>
    </row>
    <row r="14" spans="1:6" ht="41.25" customHeight="1" x14ac:dyDescent="0.25">
      <c r="A14" s="164"/>
      <c r="B14" s="165" t="s">
        <v>332</v>
      </c>
      <c r="C14" s="166">
        <v>10286.250844022121</v>
      </c>
    </row>
    <row r="21" spans="3:3" x14ac:dyDescent="0.25">
      <c r="C21" s="229"/>
    </row>
  </sheetData>
  <sheetProtection sort="0" autoFilter="0"/>
  <autoFilter ref="A10:C14"/>
  <mergeCells count="1">
    <mergeCell ref="A7:C7"/>
  </mergeCells>
  <pageMargins left="0.70866141732283472" right="0.70866141732283472" top="0.74803149606299213" bottom="0.74803149606299213" header="0.31496062992125984" footer="0.31496062992125984"/>
  <pageSetup paperSize="9" scale="51"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Выбор поселения</vt:lpstr>
      <vt:lpstr>Решение</vt:lpstr>
      <vt:lpstr>П.1</vt:lpstr>
      <vt:lpstr>П.2</vt:lpstr>
      <vt:lpstr>П.3</vt:lpstr>
      <vt:lpstr>П.4</vt:lpstr>
      <vt:lpstr>П.5</vt:lpstr>
      <vt:lpstr>П.6</vt:lpstr>
      <vt:lpstr>П.7</vt:lpstr>
      <vt:lpstr>П.8</vt:lpstr>
      <vt:lpstr>П.1!Заголовки_для_печати</vt:lpstr>
      <vt:lpstr>'Выбор поселения'!Область_печати</vt:lpstr>
      <vt:lpstr>П.1!Область_печати</vt:lpstr>
      <vt:lpstr>П.2!Область_печати</vt:lpstr>
      <vt:lpstr>П.3!Область_печати</vt:lpstr>
      <vt:lpstr>П.4!Область_печати</vt:lpstr>
      <vt:lpstr>П.5!Область_печати</vt:lpstr>
      <vt:lpstr>П.6!Область_печати</vt:lpstr>
      <vt:lpstr>П.7!Область_печати</vt:lpstr>
      <vt:lpstr>П.8!Область_печати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dc:creator>
  <cp:lastModifiedBy>Пользователь</cp:lastModifiedBy>
  <cp:lastPrinted>2025-12-27T19:50:39Z</cp:lastPrinted>
  <dcterms:created xsi:type="dcterms:W3CDTF">2020-12-02T20:58:39Z</dcterms:created>
  <dcterms:modified xsi:type="dcterms:W3CDTF">2026-11-03T11:44:50Z</dcterms:modified>
</cp:coreProperties>
</file>