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1796.44568\"/>
    </mc:Choice>
  </mc:AlternateContent>
  <bookViews>
    <workbookView xWindow="0" yWindow="0" windowWidth="23250" windowHeight="9735" tabRatio="458" firstSheet="3" activeTab="7"/>
  </bookViews>
  <sheets>
    <sheet name="Выбор поселения" sheetId="17" state="hidden" r:id="rId1"/>
    <sheet name="Решение" sheetId="18" state="hidden" r:id="rId2"/>
    <sheet name="П.1" sheetId="20" state="hidden"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BJ7" i="17" l="1"/>
  <c r="BT7" i="17"/>
  <c r="BJ6" i="17"/>
  <c r="BJ4" i="17"/>
  <c r="BI6" i="17"/>
  <c r="AY7" i="17" l="1"/>
  <c r="CJ14" i="17"/>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B12" i="32" s="1"/>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G62" i="22" l="1"/>
  <c r="F62" i="24"/>
  <c r="F59" i="24"/>
  <c r="F58" i="24" s="1"/>
  <c r="G59" i="22"/>
  <c r="G58" i="22" s="1"/>
  <c r="C12" i="32"/>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1" i="22"/>
  <c r="F61" i="24"/>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60" i="24"/>
  <c r="F57" i="24" s="1"/>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0" i="20" l="1"/>
  <c r="C3" i="20"/>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<sst xmlns="http://schemas.openxmlformats.org/spreadsheetml/2006/main" count="1122" uniqueCount="444">
  <si>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</si>
  <si>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</si>
  <si>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</si>
  <si>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</si>
  <si>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</si>
  <si>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</si>
  <si>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</si>
  <si>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</si>
  <si>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</si>
  <si>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</si>
  <si>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</si>
  <si>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</si>
  <si>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</si>
  <si>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</si>
  <si>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</si>
  <si>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</si>
  <si>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</si>
  <si>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</si>
  <si>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</si>
  <si>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</si>
  <si>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</si>
  <si>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</si>
  <si>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</si>
  <si>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</si>
  <si>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</si>
  <si>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</si>
  <si>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</si>
  <si>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</si>
  <si>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</si>
  <si>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</si>
  <si>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</si>
  <si>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</si>
  <si>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</si>
  <si>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</si>
  <si>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</si>
  <si>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</si>
  <si>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</si>
  <si>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</si>
  <si>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</si>
  <si>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</si>
  <si>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</si>
  <si>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</si>
  <si>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</si>
  <si>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</si>
  <si>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</si>
  <si>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</si>
  <si>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</si>
  <si>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</si>
  <si>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</si>
  <si>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</si>
  <si>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</si>
  <si>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</si>
  <si>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</si>
  <si>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</si>
  <si>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</si>
  <si>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</si>
  <si>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</si>
  <si>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</si>
  <si>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</si>
  <si>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</si>
  <si>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</si>
  <si>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</si>
  <si>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</si>
  <si>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</si>
  <si>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</si>
  <si>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</si>
  <si>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</si>
  <si>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</si>
  <si>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</si>
  <si>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</si>
  <si>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</si>
  <si>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</si>
  <si>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</si>
  <si>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</si>
  <si>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</si>
  <si>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</si>
  <si>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</si>
  <si>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</si>
  <si>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</si>
  <si>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</si>
  <si>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</si>
  <si>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</si>
  <si>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</si>
  <si>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</si>
  <si>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</si>
  <si>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</si>
  <si>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</si>
  <si>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</si>
  <si>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</si>
  <si>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</si>
  <si>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</si>
  <si>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</si>
  <si>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</si>
  <si>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</si>
  <si>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</si>
  <si>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</si>
  <si>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</si>
  <si>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</si>
  <si>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</si>
  <si>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</si>
  <si>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</si>
  <si>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</si>
  <si>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</si>
  <si>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</si>
  <si>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</si>
  <si>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</si>
  <si>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</si>
  <si>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</si>
  <si>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</si>
  <si>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</si>
  <si>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</si>
  <si>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</si>
  <si>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</si>
  <si>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</si>
  <si>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</si>
  <si>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</si>
  <si>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</si>
  <si>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</si>
  <si>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</si>
  <si>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</si>
  <si>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</si>
  <si>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</si>
  <si>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</si>
  <si>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</si>
  <si>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</si>
  <si>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</si>
  <si>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</si>
  <si>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</si>
  <si>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</si>
  <si>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</si>
  <si>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</si>
  <si>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</si>
  <si>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</si>
  <si>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</si>
  <si>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</si>
  <si>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</si>
  <si>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</si>
  <si>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</si>
  <si>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</si>
  <si>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</si>
  <si>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</si>
  <si>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</si>
  <si>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</si>
  <si>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</si>
  <si>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</si>
  <si>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</si>
  <si>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</si>
  <si>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</si>
  <si>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</si>
  <si>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</si>
  <si>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</si>
  <si>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</si>
  <si>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</si>
  <si>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</si>
  <si>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</si>
  <si>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</si>
  <si>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</si>
  <si>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</si>
  <si>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</si>
  <si>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</si>
  <si>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</si>
  <si>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</si>
  <si>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</si>
  <si>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</si>
  <si>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</si>
  <si>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</si>
  <si>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</si>
  <si>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</si>
  <si>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</si>
  <si>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</si>
  <si>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</si>
  <si>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</si>
  <si>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</si>
  <si>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</si>
  <si>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</si>
  <si>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</si>
  <si>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</si>
  <si>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</si>
  <si>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</si>
  <si>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</si>
  <si>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</si>
  <si>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</si>
  <si>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</si>
  <si>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</si>
  <si>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</si>
  <si>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</si>
  <si>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</si>
  <si>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</si>
  <si>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</si>
  <si>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</si>
  <si>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</si>
  <si>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</si>
  <si>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</si>
  <si>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</si>
  <si>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</si>
  <si>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</si>
  <si>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</si>
  <si>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</si>
  <si>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</si>
  <si>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</si>
  <si>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</si>
  <si>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</si>
  <si>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</si>
  <si>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</si>
  <si>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</si>
  <si>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</si>
  <si>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</si>
  <si>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</si>
  <si>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</si>
  <si>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</si>
  <si>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</si>
  <si>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</si>
  <si>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</si>
  <si>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</si>
  <si>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</si>
  <si>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</si>
  <si>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</si>
  <si>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</si>
  <si>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</si>
  <si>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</si>
  <si>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</si>
  <si>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</si>
  <si>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</si>
  <si>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</si>
  <si>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</si>
  <si>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</si>
  <si>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</si>
  <si>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</si>
  <si>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</si>
  <si>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</si>
  <si>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</si>
  <si>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</si>
  <si>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</si>
  <si>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</si>
  <si>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</si>
  <si>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</si>
  <si>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</si>
  <si>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</si>
  <si>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</si>
  <si>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</si>
  <si>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</si>
  <si>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</si>
  <si>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</si>
  <si>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</si>
  <si>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</si>
  <si>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</si>
  <si>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</si>
  <si>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</si>
  <si>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</si>
  <si>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</si>
  <si>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</si>
  <si>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</si>
  <si>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</si>
  <si>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</si>
  <si>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</si>
  <si>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</si>
  <si>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</si>
  <si>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</si>
  <si>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</si>
  <si>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</si>
  <si>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</si>
  <si>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</si>
  <si>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</si>
  <si>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</si>
  <si>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</si>
  <si>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</si>
  <si>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</si>
  <si>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</si>
  <si>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</si>
  <si>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</si>
  <si>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</si>
  <si>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</si>
  <si>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</si>
  <si>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</si>
  <si>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</si>
  <si>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</si>
  <si>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</si>
  <si>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</si>
  <si>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</si>
  <si>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</si>
  <si>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</si>
  <si>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</si>
  <si>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</si>
  <si>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</si>
  <si>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</si>
  <si>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</si>
  <si>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</si>
  <si>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</si>
  <si>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</si>
  <si>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</si>
  <si>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</si>
  <si>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</si>
  <si>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</si>
  <si>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</si>
  <si>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</si>
  <si>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</si>
  <si>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</si>
  <si>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</si>
  <si>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</si>
  <si>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</si>
  <si>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</si>
  <si>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</si>
  <si>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</si>
  <si>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</si>
  <si>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</si>
  <si>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</si>
  <si>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</si>
  <si>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</si>
  <si>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</si>
  <si>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</si>
  <si>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</si>
  <si>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</si>
  <si>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</si>
  <si>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</si>
  <si>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</si>
  <si>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</si>
  <si>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</si>
  <si>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</si>
  <si>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</si>
  <si>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</si>
  <si>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</si>
  <si>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</si>
  <si>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</si>
  <si>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</si>
  <si>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</si>
  <si>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</si>
  <si>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</si>
  <si>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</si>
  <si>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</si>
  <si>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</si>
  <si>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</si>
  <si>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</si>
  <si>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</si>
  <si>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</si>
  <si>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</si>
  <si>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</si>
  <si>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</si>
  <si>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</si>
  <si>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</si>
  <si>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</si>
  <si>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</si>
  <si>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</si>
  <si>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</si>
  <si>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</si>
  <si>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</si>
  <si>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</si>
  <si>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</si>
  <si>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</si>
  <si>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</si>
  <si>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</si>
  <si>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</si>
  <si>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</si>
  <si>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</si>
  <si>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</si>
  <si>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</si>
  <si>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</si>
  <si>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</si>
  <si>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</si>
  <si>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</si>
  <si>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</si>
  <si>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</si>
  <si>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</si>
  <si>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</si>
  <si>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</si>
  <si>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</si>
  <si>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</si>
  <si>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</si>
  <si>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</si>
  <si>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</si>
  <si>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</si>
  <si>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</si>
  <si>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</si>
  <si>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</si>
  <si>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</si>
  <si>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</si>
  <si>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</si>
  <si>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</si>
  <si>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</si>
  <si>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</si>
  <si>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</si>
  <si>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</si>
  <si>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</si>
  <si>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</si>
  <si>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</si>
  <si>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</si>
  <si>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</si>
  <si>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</si>
  <si>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</si>
  <si>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</si>
  <si>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</si>
  <si>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</si>
  <si>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</si>
  <si>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</si>
  <si>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</si>
  <si>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</si>
  <si>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</si>
  <si>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</si>
  <si>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</si>
  <si>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</si>
  <si>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</si>
  <si>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</si>
  <si>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</si>
  <si>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</si>
  <si>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</si>
  <si>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</si>
  <si>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</si>
  <si>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</si>
  <si>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</si>
  <si>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</si>
  <si>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2 02 49999 10 0000 150</t>
  </si>
  <si>
    <t>Иные МБТ</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</si>
  <si>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</si>
  <si>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</si>
  <si>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</si>
  <si>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</si>
  <si>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</si>
  <si>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</si>
  <si>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</si>
  <si>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</si>
  <si>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</si>
  <si>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</si>
  <si>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</si>
  <si>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</si>
  <si>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</si>
  <si>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</si>
  <si>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</si>
  <si>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</si>
  <si>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</si>
  <si>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</si>
  <si>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</si>
  <si>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</si>
  <si>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</si>
  <si>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</si>
  <si>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</si>
  <si>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</si>
  <si>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</si>
  <si>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</si>
  <si>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</si>
  <si>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</si>
  <si>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</si>
  <si>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</si>
  <si>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 xml:space="preserve">                                                                                                                                                     В ред.Реш.№3-9 от 02.11.2026г.</t>
  </si>
  <si>
    <t>В ред. Реш.№3-9 от 02.11.2026г.</t>
  </si>
  <si>
    <t>В ред.Реш.№3-9 от02.11.2026г.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</si>
</sst>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12" fillId="0" borderId="0"/>
    <xf numFmtId="0" fontId="19" fillId="0" borderId="0"/>
    <xf numFmtId="43" fontId="24" fillId="0" borderId="0" applyFont="0" applyFill="0" applyBorder="0" applyAlignment="0" applyProtection="0"/>
  </cellStyleXfs>
  <cellXfs count="260">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21" fillId="0" borderId="2" xfId="0" applyFont="1" applyBorder="1" applyAlignment="1" applyProtection="1">
      <alignment horizontal="center" vertical="center" wrapText="1"/>
      <protection hidden="1"/>
    </xf>
    <xf numFmtId="0" fontId="33"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6" fillId="0" borderId="0" xfId="0" applyFont="1" applyAlignment="1" applyProtection="1">
      <alignment horizontal="right"/>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2" fillId="0" borderId="0" xfId="0" applyFont="1" applyBorder="1" applyAlignment="1" applyProtection="1">
      <alignment horizontal="justify" vertical="top" wrapText="1"/>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4">
    <cellStyle name="Обычный" xfId="0" builtinId="0"/>
    <cellStyle name="Обычный 2" xfId="2"/>
    <cellStyle name="Обычный 2 12" xfId="1"/>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CY6" sqref="CY6"/>
      <selection pane="topRight" activeCell="CY6" sqref="CY6"/>
      <selection pane="bottomLeft" activeCell="CY6" sqref="CY6"/>
      <selection pane="bottomRight" activeCell="CY135" sqref="CY135"/>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Надтеречное</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НАДТЕРЕЧНЕНСКОГО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25</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Надтеречненского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9765.1502363744294</v>
      </c>
      <c r="CZ9" s="24" t="s">
        <v>8</v>
      </c>
      <c r="DA9" s="43"/>
      <c r="DB9" s="235">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6561.4</v>
      </c>
      <c r="CZ10" s="24" t="s">
        <v>99</v>
      </c>
      <c r="DA10" s="43"/>
      <c r="DB10" s="236"/>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1500</v>
      </c>
      <c r="CZ11" s="19" t="s">
        <v>368</v>
      </c>
      <c r="DA11" s="44" t="s">
        <v>79</v>
      </c>
      <c r="DB11" s="236"/>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4.4000000000000004</v>
      </c>
      <c r="CZ12" s="19" t="s">
        <v>369</v>
      </c>
      <c r="DA12" s="44" t="s">
        <v>80</v>
      </c>
      <c r="DB12" s="236"/>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11</v>
      </c>
      <c r="CZ13" s="19" t="s">
        <v>370</v>
      </c>
      <c r="DA13" s="44" t="s">
        <v>81</v>
      </c>
      <c r="DB13" s="236"/>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400</v>
      </c>
      <c r="CZ14" s="19" t="s">
        <v>92</v>
      </c>
      <c r="DA14" s="45" t="s">
        <v>82</v>
      </c>
      <c r="DB14" s="236"/>
      <c r="DC14" s="10">
        <f t="shared" si="4"/>
        <v>0</v>
      </c>
      <c r="DD14" s="99">
        <f t="shared" si="12"/>
        <v>-592.17509252765285</v>
      </c>
      <c r="DE14" s="99">
        <f t="shared" si="13"/>
        <v>-592.17509252765012</v>
      </c>
      <c r="DN14" s="230"/>
    </row>
    <row r="15" spans="1:118" ht="17.25" hidden="1" customHeight="1" thickBot="1" x14ac:dyDescent="0.3">
      <c r="A15" s="17"/>
      <c r="C15" t="str">
        <f>VLOOKUP($CY$109,$B$3:$CV$14,2,FALSE)</f>
        <v>С.Н. Алероев</v>
      </c>
      <c r="D15" t="str">
        <f>VLOOKUP($CY$109,$B$3:$CV$14,3,FALSE)</f>
        <v>Надтеречное</v>
      </c>
      <c r="E15" t="str">
        <f>VLOOKUP($CY$109,$B$3:$CV$14,4,FALSE)</f>
        <v>НАДТЕРЕЧНЕНСКОГО</v>
      </c>
      <c r="F15">
        <f>VLOOKUP($CY$109,$B$3:$CV$14,5,FALSE)</f>
        <v>0</v>
      </c>
      <c r="G15">
        <f>VLOOKUP($CY$109,$B$3:$CV$14,6,FALSE)</f>
        <v>0</v>
      </c>
      <c r="H15" t="str">
        <f>VLOOKUP($CY$109,$B$3:$CV$14,7,FALSE)</f>
        <v>Надтеречненского</v>
      </c>
      <c r="I15" s="58">
        <f>VLOOKUP($CY$109,$B$3:$CV$14,8,FALSE)</f>
        <v>9765.1502363744294</v>
      </c>
      <c r="J15" s="59">
        <f>VLOOKUP($CY$109,$B$3:$CV$14,9,FALSE)</f>
        <v>6561.4</v>
      </c>
      <c r="K15" s="59">
        <f t="shared" ref="K15:T15" si="17">VLOOKUP($CY$109,$B$3:$CV$14,10,FALSE)</f>
        <v>1500</v>
      </c>
      <c r="L15" s="59">
        <f t="shared" si="17"/>
        <v>1500</v>
      </c>
      <c r="M15" s="59">
        <f t="shared" si="17"/>
        <v>1500</v>
      </c>
      <c r="N15" s="59">
        <f t="shared" si="17"/>
        <v>1500</v>
      </c>
      <c r="O15" s="59">
        <f t="shared" si="17"/>
        <v>1500</v>
      </c>
      <c r="P15" s="59">
        <f t="shared" si="17"/>
        <v>1500</v>
      </c>
      <c r="Q15" s="59">
        <f t="shared" si="17"/>
        <v>1500</v>
      </c>
      <c r="R15" s="59">
        <f t="shared" si="17"/>
        <v>1500</v>
      </c>
      <c r="S15" s="59">
        <f t="shared" si="17"/>
        <v>1500</v>
      </c>
      <c r="T15" s="59">
        <f t="shared" si="17"/>
        <v>1500</v>
      </c>
      <c r="U15" s="59">
        <f>VLOOKUP($CY$109,$B$3:$CV$14,20,FALSE)</f>
        <v>2130.2992363744297</v>
      </c>
      <c r="V15" s="60"/>
      <c r="W15" s="49">
        <f>VLOOKUP($CY$109,$B$3:$CV$14,8,FALSE)</f>
        <v>9765.1502363744294</v>
      </c>
      <c r="X15" s="26">
        <f>VLOOKUP($CY$109,$B$3:$CV$14,9,FALSE)</f>
        <v>6561.4</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1073.451</v>
      </c>
      <c r="BY15">
        <f>VLOOKUP($CY$109,$B$3:$CV$14,22,FALSE)</f>
        <v>7806.9540000000006</v>
      </c>
      <c r="BZ15">
        <f>VLOOKUP($CY$109,$B$3:$CV$14,23,FALSE)</f>
        <v>7360.68</v>
      </c>
      <c r="CA15">
        <f>VLOOKUP($CY$109,$B$3:$CV$14,24,FALSE)</f>
        <v>1350</v>
      </c>
      <c r="CB15">
        <f>VLOOKUP($CY$109,$B$3:$CV$14,25,FALSE)</f>
        <v>6.68</v>
      </c>
      <c r="CC15">
        <f>VLOOKUP($CY$109,$B$3:$CV$14,26,FALSE)</f>
        <v>12</v>
      </c>
      <c r="CO15">
        <f>VLOOKUP($CY$109,$B$3:$CV$14,33,FALSE)</f>
        <v>24</v>
      </c>
      <c r="CP15">
        <f>VLOOKUP($CY$109,$B$3:$CV$14,34,FALSE)</f>
        <v>0</v>
      </c>
      <c r="CQ15">
        <f>VLOOKUP($CY$109,$B$3:$CV$14,35,FALSE)</f>
        <v>446.274</v>
      </c>
      <c r="CR15">
        <f>VLOOKUP($CY$109,$B$3:$CV$14,36,FALSE)</f>
        <v>8058.4810000000007</v>
      </c>
      <c r="CS15">
        <f>VLOOKUP($CY$109,$B$3:$CV$14,37,FALSE)</f>
        <v>7596.7</v>
      </c>
      <c r="CT15">
        <f>VLOOKUP($CY$109,$B$3:$CV$14,38,FALSE)</f>
        <v>1420</v>
      </c>
      <c r="CU15">
        <f>VLOOKUP($CY$109,$B$3:$CV$14,39,FALSE)</f>
        <v>6.7</v>
      </c>
      <c r="CV15">
        <f>VLOOKUP($CY$109,$B$3:$CV$14,40,FALSE)</f>
        <v>13</v>
      </c>
      <c r="CW15">
        <f>VLOOKUP($CY$109,$B$3:$CX$14,100,FALSE)</f>
        <v>23</v>
      </c>
      <c r="CX15">
        <f>VLOOKUP($CY$109,$B$3:$CX$14,101,FALSE)</f>
        <v>0</v>
      </c>
      <c r="CY15" s="14">
        <f>VLOOKUP($CY$109,$B$3:$CV$14,14,FALSE)</f>
        <v>40</v>
      </c>
      <c r="CZ15" s="19" t="s">
        <v>93</v>
      </c>
      <c r="DA15" s="44" t="s">
        <v>83</v>
      </c>
      <c r="DB15" s="236"/>
      <c r="DC15" s="10">
        <f t="shared" si="4"/>
        <v>9765.1502363744294</v>
      </c>
      <c r="DE15" s="99">
        <f t="shared" ref="DE15" si="18">W15-(AY15-BM15-BN15-BO15-BP15-BQ15+BX15+BY15+BZ15+CA15+CB15)</f>
        <v>-7832.61476362557</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15</v>
      </c>
      <c r="CZ16" s="19" t="s">
        <v>94</v>
      </c>
      <c r="DA16" s="45" t="s">
        <v>84</v>
      </c>
      <c r="DB16" s="236"/>
    </row>
    <row r="17" spans="1:106" ht="17.25" hidden="1" customHeight="1" x14ac:dyDescent="0.25">
      <c r="A17" s="17"/>
      <c r="CY17" s="14">
        <f>VLOOKUP($CY$109,$B$3:$CV$14,16,FALSE)</f>
        <v>2800</v>
      </c>
      <c r="CZ17" s="19" t="s">
        <v>95</v>
      </c>
      <c r="DA17" s="45" t="s">
        <v>85</v>
      </c>
      <c r="DB17" s="236"/>
    </row>
    <row r="18" spans="1:106" ht="17.25" hidden="1" customHeight="1" x14ac:dyDescent="0.25">
      <c r="A18" s="17"/>
      <c r="AA18">
        <v>1000</v>
      </c>
      <c r="CY18" s="14">
        <f>VLOOKUP($CY$109,$B$3:$CV$14,17,FALSE)</f>
        <v>644</v>
      </c>
      <c r="CZ18" s="19" t="s">
        <v>96</v>
      </c>
      <c r="DA18" s="45" t="s">
        <v>86</v>
      </c>
      <c r="DB18" s="236"/>
    </row>
    <row r="19" spans="1:106" ht="20.25" hidden="1" customHeight="1" x14ac:dyDescent="0.25">
      <c r="A19" s="17"/>
      <c r="CY19" s="14">
        <f>VLOOKUP($CY$109,$B$3:$CV$14,18,FALSE)</f>
        <v>1100</v>
      </c>
      <c r="CZ19" s="19" t="s">
        <v>97</v>
      </c>
      <c r="DA19" s="45" t="s">
        <v>87</v>
      </c>
      <c r="DB19" s="236"/>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24</v>
      </c>
      <c r="CZ20" s="19" t="s">
        <v>98</v>
      </c>
      <c r="DA20" s="45" t="s">
        <v>88</v>
      </c>
      <c r="DB20" s="236"/>
    </row>
    <row r="21" spans="1:106" ht="18.75" hidden="1" x14ac:dyDescent="0.25">
      <c r="A21" s="17"/>
      <c r="AN21">
        <v>1000</v>
      </c>
      <c r="BC21" s="99"/>
      <c r="BD21" s="99">
        <f>AZ7+BA7+BB7+BD7+BE7+BF7+BG7+BI7+BJ7+BK7+BL7+BR7+BS7+BU7+BV7+BW7</f>
        <v>16687.613627713952</v>
      </c>
      <c r="CY21" s="14">
        <f>VLOOKUP($CY$109,$B$3:$CV$14,20,FALSE)</f>
        <v>2130.2992363744297</v>
      </c>
      <c r="CZ21" s="25" t="s">
        <v>103</v>
      </c>
      <c r="DA21" s="43"/>
      <c r="DB21" s="236"/>
    </row>
    <row r="22" spans="1:106" ht="19.5" hidden="1" thickBot="1" x14ac:dyDescent="0.3">
      <c r="A22" s="17"/>
      <c r="BD22" s="99">
        <f t="shared" ref="BD22" si="19">AZ8+BA8+BB8+BD8+BE8+BF8+BG8+BI8+BJ8+BK8+BL8+BR8+BS8+BU8+BV8+BW8</f>
        <v>14030.360785055302</v>
      </c>
      <c r="CY22" s="14">
        <f>VLOOKUP($CY$109,$B$3:$CV$14,21,FALSE)</f>
        <v>1073.451</v>
      </c>
      <c r="CZ22" s="25" t="s">
        <v>104</v>
      </c>
      <c r="DA22" s="43"/>
      <c r="DB22" s="237"/>
    </row>
    <row r="23" spans="1:106" hidden="1" x14ac:dyDescent="0.25">
      <c r="A23" s="17"/>
      <c r="BD23" s="99">
        <f>AZ9+BA9+BB9+BD9+BE9+BF9+BG9+BI9+BJ9+BK9+BL9+BR9+BS9+BU9+BV9+BW9+BT9</f>
        <v>8691.6992363744266</v>
      </c>
      <c r="CY23" s="14">
        <f>VLOOKUP($CY$109,$B$3:$CV$14,22,FALSE)</f>
        <v>7806.9540000000006</v>
      </c>
      <c r="CZ23" s="24" t="s">
        <v>8</v>
      </c>
      <c r="DA23" s="43"/>
      <c r="DB23" s="235">
        <v>2024</v>
      </c>
    </row>
    <row r="24" spans="1:106" hidden="1" x14ac:dyDescent="0.25">
      <c r="A24" s="17"/>
      <c r="BC24" s="99"/>
      <c r="BD24" s="99">
        <f t="shared" ref="BD24:BD25" si="20">AZ10+BA10+BB10+BD10+BE10+BF10+BG10+BI10+BJ10+BK10+BL10+BR10+BS10+BU10+BV10+BW10+BT10</f>
        <v>10325.677968680873</v>
      </c>
      <c r="CY24" s="14">
        <f>VLOOKUP($CY$109,$B$3:$CV$14,23,FALSE)</f>
        <v>7360.68</v>
      </c>
      <c r="CZ24" s="24" t="s">
        <v>99</v>
      </c>
      <c r="DA24" s="43"/>
      <c r="DB24" s="236"/>
    </row>
    <row r="25" spans="1:106" ht="15" hidden="1" customHeight="1" x14ac:dyDescent="0.3">
      <c r="A25" s="17"/>
      <c r="BD25" s="99">
        <f t="shared" si="20"/>
        <v>7347.0617961532243</v>
      </c>
      <c r="CY25" s="14">
        <f>VLOOKUP($CY$109,$B$3:$CV$14,24,FALSE)</f>
        <v>1350</v>
      </c>
      <c r="CZ25" s="35" t="s">
        <v>89</v>
      </c>
      <c r="DA25" s="44" t="s">
        <v>79</v>
      </c>
      <c r="DB25" s="236"/>
    </row>
    <row r="26" spans="1:106" ht="15" hidden="1" customHeight="1" x14ac:dyDescent="0.3">
      <c r="A26" s="17"/>
      <c r="BD26" s="99">
        <v>51.500130000000354</v>
      </c>
      <c r="CY26" s="14">
        <f>VLOOKUP($CY$109,$B$3:$CV$14,25,FALSE)</f>
        <v>6.68</v>
      </c>
      <c r="CZ26" s="35" t="s">
        <v>90</v>
      </c>
      <c r="DA26" s="44" t="s">
        <v>80</v>
      </c>
      <c r="DB26" s="236"/>
    </row>
    <row r="27" spans="1:106" ht="15" hidden="1" customHeight="1" x14ac:dyDescent="0.3">
      <c r="A27" s="17"/>
      <c r="CY27" s="14">
        <f>VLOOKUP($CY$109,$B$3:$CV$14,26,FALSE)</f>
        <v>12</v>
      </c>
      <c r="CZ27" s="35" t="s">
        <v>91</v>
      </c>
      <c r="DA27" s="44" t="s">
        <v>81</v>
      </c>
      <c r="DB27" s="236"/>
    </row>
    <row r="28" spans="1:106" ht="15" hidden="1" customHeight="1" x14ac:dyDescent="0.3">
      <c r="A28" s="17"/>
      <c r="BJ28" s="99"/>
      <c r="CY28" s="14">
        <f>VLOOKUP($CY$109,$B$3:$CV$14,27,FALSE)</f>
        <v>650</v>
      </c>
      <c r="CZ28" s="35" t="s">
        <v>92</v>
      </c>
      <c r="DA28" s="45" t="s">
        <v>82</v>
      </c>
      <c r="DB28" s="236"/>
    </row>
    <row r="29" spans="1:106" ht="15" hidden="1" customHeight="1" x14ac:dyDescent="0.3">
      <c r="A29" s="17"/>
      <c r="M29">
        <v>1000</v>
      </c>
      <c r="CY29" s="14">
        <f>VLOOKUP($CY$109,$B$3:$CV$14,28,FALSE)</f>
        <v>32</v>
      </c>
      <c r="CZ29" s="35" t="s">
        <v>93</v>
      </c>
      <c r="DA29" s="44" t="s">
        <v>83</v>
      </c>
      <c r="DB29" s="236"/>
    </row>
    <row r="30" spans="1:106" ht="15" hidden="1" customHeight="1" x14ac:dyDescent="0.3">
      <c r="A30" s="17"/>
      <c r="CY30" s="14">
        <f>VLOOKUP($CY$109,$B$3:$CV$14,29,FALSE)</f>
        <v>16</v>
      </c>
      <c r="CZ30" s="35" t="s">
        <v>94</v>
      </c>
      <c r="DA30" s="45" t="s">
        <v>84</v>
      </c>
      <c r="DB30" s="236"/>
    </row>
    <row r="31" spans="1:106" ht="15" hidden="1" customHeight="1" x14ac:dyDescent="0.3">
      <c r="A31" s="17"/>
      <c r="CY31" s="14">
        <f>VLOOKUP($CY$109,$B$3:$CV$14,30,FALSE)</f>
        <v>3300</v>
      </c>
      <c r="CZ31" s="35" t="s">
        <v>95</v>
      </c>
      <c r="DA31" s="45" t="s">
        <v>85</v>
      </c>
      <c r="DB31" s="236"/>
    </row>
    <row r="32" spans="1:106" ht="15" hidden="1" customHeight="1" x14ac:dyDescent="0.3">
      <c r="A32" s="17"/>
      <c r="CY32" s="14">
        <f>VLOOKUP($CY$109,$B$3:$CV$14,31,FALSE)</f>
        <v>820</v>
      </c>
      <c r="CZ32" s="35" t="s">
        <v>96</v>
      </c>
      <c r="DA32" s="45" t="s">
        <v>86</v>
      </c>
      <c r="DB32" s="236"/>
    </row>
    <row r="33" spans="1:106" ht="15" hidden="1" customHeight="1" x14ac:dyDescent="0.3">
      <c r="A33" s="17"/>
      <c r="CY33" s="14">
        <f>VLOOKUP($CY$109,$B$3:$CV$14,32,FALSE)</f>
        <v>1150</v>
      </c>
      <c r="CZ33" s="35" t="s">
        <v>97</v>
      </c>
      <c r="DA33" s="45" t="s">
        <v>87</v>
      </c>
      <c r="DB33" s="236"/>
    </row>
    <row r="34" spans="1:106" ht="15" hidden="1" customHeight="1" x14ac:dyDescent="0.3">
      <c r="A34" s="17"/>
      <c r="CY34" s="14">
        <f>VLOOKUP($CY$109,$B$3:$CV$14,33,FALSE)</f>
        <v>24</v>
      </c>
      <c r="CZ34" s="35" t="s">
        <v>98</v>
      </c>
      <c r="DA34" s="45" t="s">
        <v>88</v>
      </c>
      <c r="DB34" s="236"/>
    </row>
    <row r="35" spans="1:106" ht="18.75" hidden="1" x14ac:dyDescent="0.3">
      <c r="A35" s="17"/>
      <c r="CY35" s="14">
        <f>VLOOKUP($CY$109,$B$3:$CV$14,34,FALSE)</f>
        <v>0</v>
      </c>
      <c r="CZ35" s="36" t="s">
        <v>194</v>
      </c>
      <c r="DA35" s="43"/>
      <c r="DB35" s="236"/>
    </row>
    <row r="36" spans="1:106" ht="19.5" hidden="1" thickBot="1" x14ac:dyDescent="0.3">
      <c r="A36" s="17"/>
      <c r="CY36" s="14">
        <f>VLOOKUP($CY$109,$B$3:$CV$14,35,FALSE)</f>
        <v>446.274</v>
      </c>
      <c r="CZ36" s="25" t="s">
        <v>196</v>
      </c>
      <c r="DA36" s="43"/>
      <c r="DB36" s="237"/>
    </row>
    <row r="37" spans="1:106" ht="15.75" hidden="1" x14ac:dyDescent="0.25">
      <c r="A37" s="17"/>
      <c r="CY37" s="14">
        <f>VLOOKUP($CY$109,$B$3:$CV$14,36,FALSE)</f>
        <v>8058.4810000000007</v>
      </c>
      <c r="CZ37" s="37" t="s">
        <v>8</v>
      </c>
      <c r="DA37" s="40"/>
      <c r="DB37" s="235">
        <v>2025</v>
      </c>
    </row>
    <row r="38" spans="1:106" ht="15.75" hidden="1" customHeight="1" x14ac:dyDescent="0.25">
      <c r="A38" s="17"/>
      <c r="CY38" s="14">
        <f>VLOOKUP($CY$109,$B$3:$CV$14,37,FALSE)</f>
        <v>7596.7</v>
      </c>
      <c r="CZ38" s="37" t="s">
        <v>99</v>
      </c>
      <c r="DA38" s="40"/>
      <c r="DB38" s="236"/>
    </row>
    <row r="39" spans="1:106" ht="15.75" hidden="1" customHeight="1" x14ac:dyDescent="0.25">
      <c r="A39" s="17"/>
      <c r="CY39" s="14">
        <f>VLOOKUP($CY$109,$B$3:$CV$14,38,FALSE)</f>
        <v>1420</v>
      </c>
      <c r="CZ39" s="38" t="s">
        <v>89</v>
      </c>
      <c r="DA39" s="41" t="s">
        <v>79</v>
      </c>
      <c r="DB39" s="236"/>
    </row>
    <row r="40" spans="1:106" ht="15.75" hidden="1" customHeight="1" x14ac:dyDescent="0.25">
      <c r="A40" s="17"/>
      <c r="CY40" s="14">
        <f>VLOOKUP($CY$109,$B$3:$CV$14,39,FALSE)</f>
        <v>6.7</v>
      </c>
      <c r="CZ40" s="38" t="s">
        <v>90</v>
      </c>
      <c r="DA40" s="41" t="s">
        <v>80</v>
      </c>
      <c r="DB40" s="236"/>
    </row>
    <row r="41" spans="1:106" ht="15.75" hidden="1" customHeight="1" x14ac:dyDescent="0.25">
      <c r="A41" s="17"/>
      <c r="CY41" s="14">
        <f>VLOOKUP($CY$109,$B$3:$CV$14,40,FALSE)</f>
        <v>13</v>
      </c>
      <c r="CZ41" s="38" t="s">
        <v>91</v>
      </c>
      <c r="DA41" s="41" t="s">
        <v>81</v>
      </c>
      <c r="DB41" s="236"/>
    </row>
    <row r="42" spans="1:106" ht="15.75" hidden="1" customHeight="1" x14ac:dyDescent="0.25">
      <c r="A42" s="17"/>
      <c r="CY42" s="14">
        <f>VLOOKUP($CY$109,$B$3:$CV$14,41,FALSE)</f>
        <v>750</v>
      </c>
      <c r="CZ42" s="38" t="s">
        <v>92</v>
      </c>
      <c r="DA42" s="42" t="s">
        <v>82</v>
      </c>
      <c r="DB42" s="236"/>
    </row>
    <row r="43" spans="1:106" ht="15.75" hidden="1" customHeight="1" x14ac:dyDescent="0.25">
      <c r="A43" s="17"/>
      <c r="CY43" s="14">
        <f>VLOOKUP($CY$109,$B$3:$CV$14,42,FALSE)</f>
        <v>35</v>
      </c>
      <c r="CZ43" s="38" t="s">
        <v>93</v>
      </c>
      <c r="DA43" s="41" t="s">
        <v>83</v>
      </c>
      <c r="DB43" s="236"/>
    </row>
    <row r="44" spans="1:106" ht="15.75" hidden="1" customHeight="1" x14ac:dyDescent="0.25">
      <c r="A44" s="17"/>
      <c r="CY44" s="14">
        <f>VLOOKUP($CY$109,$B$3:$CV$14,43,FALSE)</f>
        <v>18</v>
      </c>
      <c r="CZ44" s="38" t="s">
        <v>94</v>
      </c>
      <c r="DA44" s="42" t="s">
        <v>84</v>
      </c>
      <c r="DB44" s="236"/>
    </row>
    <row r="45" spans="1:106" ht="15.75" hidden="1" customHeight="1" x14ac:dyDescent="0.25">
      <c r="A45" s="17"/>
      <c r="CY45" s="14">
        <f>VLOOKUP($CY$109,$B$3:$CV$14,44,FALSE)</f>
        <v>3350</v>
      </c>
      <c r="CZ45" s="38" t="s">
        <v>95</v>
      </c>
      <c r="DA45" s="42" t="s">
        <v>85</v>
      </c>
      <c r="DB45" s="236"/>
    </row>
    <row r="46" spans="1:106" ht="15.75" hidden="1" customHeight="1" x14ac:dyDescent="0.25">
      <c r="A46" s="17"/>
      <c r="CY46" s="14">
        <f>VLOOKUP($CY$109,$B$3:$CV$14,45,FALSE)</f>
        <v>825</v>
      </c>
      <c r="CZ46" s="38" t="s">
        <v>96</v>
      </c>
      <c r="DA46" s="42" t="s">
        <v>86</v>
      </c>
      <c r="DB46" s="236"/>
    </row>
    <row r="47" spans="1:106" ht="15.75" hidden="1" customHeight="1" x14ac:dyDescent="0.25">
      <c r="A47" s="17"/>
      <c r="CY47" s="14">
        <f>VLOOKUP($CY$109,$B$3:$CV$14,46,FALSE)</f>
        <v>1155</v>
      </c>
      <c r="CZ47" s="38" t="s">
        <v>97</v>
      </c>
      <c r="DA47" s="42" t="s">
        <v>87</v>
      </c>
      <c r="DB47" s="236"/>
    </row>
    <row r="48" spans="1:106" ht="15.75" hidden="1" customHeight="1" x14ac:dyDescent="0.25">
      <c r="A48" s="17"/>
      <c r="CY48" s="14">
        <f>VLOOKUP($CY$109,$B$3:$CV$14,47,FALSE)</f>
        <v>24</v>
      </c>
      <c r="CZ48" s="38" t="s">
        <v>98</v>
      </c>
      <c r="DA48" s="42" t="s">
        <v>88</v>
      </c>
      <c r="DB48" s="236"/>
    </row>
    <row r="49" spans="1:106" ht="15.75" hidden="1" customHeight="1" x14ac:dyDescent="0.25">
      <c r="A49" s="17"/>
      <c r="CY49" s="14">
        <f>VLOOKUP($CY$109,$B$3:$CV$14,48,FALSE)</f>
        <v>8.5265128291212022E-13</v>
      </c>
      <c r="CZ49" s="39" t="s">
        <v>197</v>
      </c>
      <c r="DA49" s="40"/>
      <c r="DB49" s="236"/>
    </row>
    <row r="50" spans="1:106" ht="18.75" hidden="1" customHeight="1" x14ac:dyDescent="0.25">
      <c r="A50" s="17"/>
      <c r="CY50" s="14">
        <f>VLOOKUP($CY$109,$B$3:$CV$14,49,FALSE)</f>
        <v>461.78100000000001</v>
      </c>
      <c r="CZ50" s="88" t="s">
        <v>195</v>
      </c>
      <c r="DA50" s="89"/>
      <c r="DB50" s="236"/>
    </row>
    <row r="51" spans="1:106" ht="18.75" hidden="1" customHeight="1" x14ac:dyDescent="0.25">
      <c r="A51" s="17"/>
      <c r="CY51" s="116">
        <f>VLOOKUP($CY$109,$B$3:$CV$14,50,FALSE)</f>
        <v>9765.1502363744257</v>
      </c>
      <c r="CZ51" s="24" t="s">
        <v>155</v>
      </c>
      <c r="DA51" s="90" t="s">
        <v>155</v>
      </c>
      <c r="DB51" s="234">
        <v>2023</v>
      </c>
    </row>
    <row r="52" spans="1:106" ht="18.75" hidden="1" customHeight="1" x14ac:dyDescent="0.25">
      <c r="A52" s="17"/>
      <c r="CY52" s="14">
        <f>VLOOKUP($CY$109,$B$3:$CV$14,51,FALSE)</f>
        <v>3912.9029999999998</v>
      </c>
      <c r="CZ52" s="91" t="s">
        <v>136</v>
      </c>
      <c r="DA52" s="68" t="s">
        <v>112</v>
      </c>
      <c r="DB52" s="234"/>
    </row>
    <row r="53" spans="1:106" ht="18.75" hidden="1" customHeight="1" x14ac:dyDescent="0.25">
      <c r="A53" s="17"/>
      <c r="CY53" s="14">
        <f>VLOOKUP($CY$109,$B$3:$CV$14,52,FALSE)</f>
        <v>1181.6969999999999</v>
      </c>
      <c r="CZ53" s="91" t="s">
        <v>136</v>
      </c>
      <c r="DA53" s="68" t="s">
        <v>113</v>
      </c>
      <c r="DB53" s="234"/>
    </row>
    <row r="54" spans="1:106" ht="18.75" hidden="1" customHeight="1" x14ac:dyDescent="0.25">
      <c r="A54" s="17"/>
      <c r="CY54" s="14">
        <f>VLOOKUP($CY$109,$B$3:$CV$14,53,FALSE)</f>
        <v>65</v>
      </c>
      <c r="CZ54" s="24" t="s">
        <v>137</v>
      </c>
      <c r="DA54" s="68" t="s">
        <v>114</v>
      </c>
      <c r="DB54" s="234"/>
    </row>
    <row r="55" spans="1:106" ht="18.75" hidden="1" customHeight="1" x14ac:dyDescent="0.25">
      <c r="A55" s="17"/>
      <c r="CY55" s="14">
        <f>VLOOKUP($CY$109,$B$3:$CV$14,54,FALSE)</f>
        <v>0</v>
      </c>
      <c r="CZ55" s="24" t="s">
        <v>138</v>
      </c>
      <c r="DA55" s="68" t="s">
        <v>115</v>
      </c>
      <c r="DB55" s="234"/>
    </row>
    <row r="56" spans="1:106" ht="18.75" hidden="1" customHeight="1" x14ac:dyDescent="0.25">
      <c r="A56" s="17"/>
      <c r="CY56" s="14">
        <f>VLOOKUP($CY$109,$B$3:$CV$14,55,FALSE)</f>
        <v>10</v>
      </c>
      <c r="CZ56" s="24" t="s">
        <v>139</v>
      </c>
      <c r="DA56" s="68" t="s">
        <v>116</v>
      </c>
      <c r="DB56" s="234"/>
    </row>
    <row r="57" spans="1:106" ht="18.75" hidden="1" customHeight="1" x14ac:dyDescent="0.25">
      <c r="A57" s="17"/>
      <c r="CY57" s="14">
        <f>VLOOKUP($CY$109,$B$3:$CV$14,56,FALSE)</f>
        <v>110</v>
      </c>
      <c r="CZ57" s="24" t="s">
        <v>139</v>
      </c>
      <c r="DA57" s="68" t="s">
        <v>117</v>
      </c>
      <c r="DB57" s="234"/>
    </row>
    <row r="58" spans="1:106" ht="18.75" hidden="1" customHeight="1" x14ac:dyDescent="0.25">
      <c r="A58" s="17"/>
      <c r="CY58" s="14">
        <f>VLOOKUP($CY$109,$B$3:$CV$14,57,FALSE)</f>
        <v>15</v>
      </c>
      <c r="CZ58" s="24" t="s">
        <v>140</v>
      </c>
      <c r="DA58" s="68" t="s">
        <v>118</v>
      </c>
      <c r="DB58" s="234"/>
    </row>
    <row r="59" spans="1:106" ht="18.75" hidden="1" customHeight="1" x14ac:dyDescent="0.25">
      <c r="A59" s="17"/>
      <c r="CY59" s="14">
        <f>VLOOKUP($CY$109,$B$3:$CV$14,58,FALSE)</f>
        <v>116.39252</v>
      </c>
      <c r="CZ59" s="24" t="s">
        <v>141</v>
      </c>
      <c r="DA59" s="68" t="s">
        <v>119</v>
      </c>
      <c r="DB59" s="234"/>
    </row>
    <row r="60" spans="1:106" ht="18.75" hidden="1" customHeight="1" x14ac:dyDescent="0.25">
      <c r="A60" s="17"/>
      <c r="CY60" s="14">
        <f>VLOOKUP($CY$109,$B$3:$CV$14,59,FALSE)</f>
        <v>0</v>
      </c>
      <c r="CZ60" s="24" t="s">
        <v>142</v>
      </c>
      <c r="DA60" s="68" t="s">
        <v>120</v>
      </c>
      <c r="DB60" s="234"/>
    </row>
    <row r="61" spans="1:106" ht="18.75" hidden="1" customHeight="1" x14ac:dyDescent="0.25">
      <c r="A61" s="17"/>
      <c r="CY61" s="14">
        <f>VLOOKUP($CY$109,$B$3:$CV$14,60,FALSE)</f>
        <v>306.45600000000002</v>
      </c>
      <c r="CZ61" s="24" t="s">
        <v>143</v>
      </c>
      <c r="DA61" s="68" t="s">
        <v>121</v>
      </c>
      <c r="DB61" s="234"/>
    </row>
    <row r="62" spans="1:106" ht="18.75" hidden="1" customHeight="1" x14ac:dyDescent="0.25">
      <c r="A62" s="17"/>
      <c r="CY62" s="14">
        <f>VLOOKUP($CY$109,$B$3:$CV$14,61,FALSE)</f>
        <v>300</v>
      </c>
      <c r="CZ62" s="24" t="s">
        <v>143</v>
      </c>
      <c r="DA62" s="68" t="s">
        <v>122</v>
      </c>
      <c r="DB62" s="234"/>
    </row>
    <row r="63" spans="1:106" ht="18.75" hidden="1" customHeight="1" x14ac:dyDescent="0.25">
      <c r="A63" s="17"/>
      <c r="CY63" s="14">
        <f>VLOOKUP($CY$109,$B$3:$CV$14,62,FALSE)</f>
        <v>80</v>
      </c>
      <c r="CZ63" s="24" t="s">
        <v>143</v>
      </c>
      <c r="DA63" s="68" t="s">
        <v>123</v>
      </c>
      <c r="DB63" s="234"/>
    </row>
    <row r="64" spans="1:106" ht="18.75" hidden="1" customHeight="1" x14ac:dyDescent="0.25">
      <c r="A64" s="17"/>
      <c r="CY64" s="14">
        <f>VLOOKUP($CY$109,$B$3:$CV$14,63,FALSE)</f>
        <v>5</v>
      </c>
      <c r="CZ64" s="24" t="s">
        <v>144</v>
      </c>
      <c r="DA64" s="68" t="s">
        <v>124</v>
      </c>
      <c r="DB64" s="234"/>
    </row>
    <row r="65" spans="1:106" ht="18.75" hidden="1" customHeight="1" x14ac:dyDescent="0.25">
      <c r="A65" s="17"/>
      <c r="CY65" s="14">
        <f>VLOOKUP($CY$109,$B$3:$CV$14,64,FALSE)</f>
        <v>650.23</v>
      </c>
      <c r="CZ65" s="24" t="s">
        <v>145</v>
      </c>
      <c r="DA65" s="68" t="s">
        <v>125</v>
      </c>
      <c r="DB65" s="234"/>
    </row>
    <row r="66" spans="1:106" ht="18.75" hidden="1" customHeight="1" x14ac:dyDescent="0.25">
      <c r="A66" s="17"/>
      <c r="CY66" s="14">
        <f>VLOOKUP($CY$109,$B$3:$CV$14,65,FALSE)</f>
        <v>196.37</v>
      </c>
      <c r="CZ66" s="24" t="s">
        <v>145</v>
      </c>
      <c r="DA66" s="68" t="s">
        <v>126</v>
      </c>
      <c r="DB66" s="234"/>
    </row>
    <row r="67" spans="1:106" ht="18.75" hidden="1" customHeight="1" x14ac:dyDescent="0.25">
      <c r="A67" s="17"/>
      <c r="CY67" s="14">
        <f>VLOOKUP($CY$109,$B$3:$CV$14,66,FALSE)</f>
        <v>48.694000000000003</v>
      </c>
      <c r="CZ67" s="24" t="s">
        <v>146</v>
      </c>
      <c r="DA67" s="68" t="s">
        <v>127</v>
      </c>
      <c r="DB67" s="234"/>
    </row>
    <row r="68" spans="1:106" ht="18.75" hidden="1" customHeight="1" x14ac:dyDescent="0.25">
      <c r="A68" s="17"/>
      <c r="CY68" s="14">
        <f>VLOOKUP($CY$109,$B$3:$CV$14,67,FALSE)</f>
        <v>125.621</v>
      </c>
      <c r="CZ68" s="24" t="s">
        <v>147</v>
      </c>
      <c r="DA68" s="68" t="s">
        <v>128</v>
      </c>
      <c r="DB68" s="234"/>
    </row>
    <row r="69" spans="1:106" ht="18.75" hidden="1" customHeight="1" x14ac:dyDescent="0.25">
      <c r="A69" s="17"/>
      <c r="CY69" s="14">
        <f>VLOOKUP($CY$109,$B$3:$CV$14,68,FALSE)</f>
        <v>52.536000000000001</v>
      </c>
      <c r="CZ69" s="24" t="s">
        <v>148</v>
      </c>
      <c r="DA69" s="68" t="s">
        <v>129</v>
      </c>
      <c r="DB69" s="234"/>
    </row>
    <row r="70" spans="1:106" ht="18.75" hidden="1" customHeight="1" x14ac:dyDescent="0.25">
      <c r="A70" s="17"/>
      <c r="CY70" s="14">
        <f>VLOOKUP($CY$109,$B$3:$CV$14,69,FALSE)</f>
        <v>5</v>
      </c>
      <c r="CZ70" s="24" t="s">
        <v>149</v>
      </c>
      <c r="DA70" s="68" t="s">
        <v>130</v>
      </c>
      <c r="DB70" s="234"/>
    </row>
    <row r="71" spans="1:106" ht="18.75" hidden="1" customHeight="1" x14ac:dyDescent="0.25">
      <c r="A71" s="17"/>
      <c r="CY71" s="14">
        <f>VLOOKUP($CY$109,$B$3:$CV$14,70,FALSE)</f>
        <v>491.44600000000003</v>
      </c>
      <c r="CZ71" s="24" t="s">
        <v>150</v>
      </c>
      <c r="DA71" s="68" t="s">
        <v>131</v>
      </c>
      <c r="DB71" s="234"/>
    </row>
    <row r="72" spans="1:106" ht="18.75" hidden="1" customHeight="1" x14ac:dyDescent="0.25">
      <c r="A72" s="17"/>
      <c r="CY72" s="14">
        <f>VLOOKUP($CY$109,$B$3:$CV$14,71,FALSE)</f>
        <v>1000</v>
      </c>
      <c r="CZ72" s="24" t="s">
        <v>151</v>
      </c>
      <c r="DA72" s="68" t="s">
        <v>132</v>
      </c>
      <c r="DB72" s="234"/>
    </row>
    <row r="73" spans="1:106" ht="18.75" hidden="1" customHeight="1" x14ac:dyDescent="0.25">
      <c r="A73" s="17"/>
      <c r="CY73" s="14">
        <f>VLOOKUP($CY$109,$B$3:$CV$14,72,FALSE)</f>
        <v>0</v>
      </c>
      <c r="CZ73" s="24" t="s">
        <v>152</v>
      </c>
      <c r="DA73" s="68" t="s">
        <v>133</v>
      </c>
      <c r="DB73" s="234"/>
    </row>
    <row r="74" spans="1:106" ht="18.75" hidden="1" customHeight="1" x14ac:dyDescent="0.25">
      <c r="A74" s="17"/>
      <c r="CY74" s="14">
        <f>VLOOKUP($CY$109,$B$3:$CV$14,73,FALSE)</f>
        <v>1092.8047163744266</v>
      </c>
      <c r="CZ74" s="24" t="s">
        <v>153</v>
      </c>
      <c r="DA74" s="68" t="s">
        <v>134</v>
      </c>
      <c r="DB74" s="234"/>
    </row>
    <row r="75" spans="1:106" ht="18.75" hidden="1" customHeight="1" x14ac:dyDescent="0.25">
      <c r="A75" s="17"/>
      <c r="CY75" s="14">
        <f>VLOOKUP($CY$109,$B$3:$CV$14,74,FALSE)</f>
        <v>0</v>
      </c>
      <c r="CZ75" s="24" t="s">
        <v>154</v>
      </c>
      <c r="DA75" s="68" t="s">
        <v>135</v>
      </c>
      <c r="DB75" s="234"/>
    </row>
    <row r="76" spans="1:106" ht="18.75" hidden="1" customHeight="1" x14ac:dyDescent="0.25">
      <c r="A76" s="17"/>
      <c r="CY76" s="14">
        <f>VLOOKUP($CY$109,$B$3:$CV$14,75,FALSE)</f>
        <v>303.23500000000001</v>
      </c>
      <c r="CZ76" s="24" t="s">
        <v>145</v>
      </c>
      <c r="DA76" s="68" t="s">
        <v>125</v>
      </c>
      <c r="DB76" s="234">
        <v>2024</v>
      </c>
    </row>
    <row r="77" spans="1:106" ht="18.75" hidden="1" customHeight="1" x14ac:dyDescent="0.25">
      <c r="A77" s="17"/>
      <c r="CY77" s="14">
        <f>VLOOKUP($CY$109,$B$3:$CV$14,76,FALSE)</f>
        <v>91.576999999999998</v>
      </c>
      <c r="CZ77" s="24" t="s">
        <v>145</v>
      </c>
      <c r="DA77" s="68" t="s">
        <v>126</v>
      </c>
      <c r="DB77" s="234"/>
    </row>
    <row r="78" spans="1:106" ht="18.75" hidden="1" customHeight="1" x14ac:dyDescent="0.25">
      <c r="A78" s="17"/>
      <c r="CY78" s="14">
        <f>VLOOKUP($CY$109,$B$3:$CV$14,77,FALSE)</f>
        <v>0</v>
      </c>
      <c r="CZ78" s="24" t="s">
        <v>146</v>
      </c>
      <c r="DA78" s="68" t="s">
        <v>127</v>
      </c>
      <c r="DB78" s="234"/>
    </row>
    <row r="79" spans="1:106" ht="18.75" hidden="1" customHeight="1" x14ac:dyDescent="0.25">
      <c r="A79" s="17"/>
      <c r="CY79" s="14">
        <f>VLOOKUP($CY$109,$B$3:$CV$14,78,FALSE)</f>
        <v>51.462000000000003</v>
      </c>
      <c r="CZ79" s="24" t="s">
        <v>147</v>
      </c>
      <c r="DA79" s="68" t="s">
        <v>128</v>
      </c>
      <c r="DB79" s="234"/>
    </row>
    <row r="80" spans="1:106" ht="18.75" hidden="1" customHeight="1" x14ac:dyDescent="0.25">
      <c r="A80" s="17"/>
      <c r="CY80" s="14">
        <f>VLOOKUP($CY$109,$B$3:$CV$14,79,FALSE)</f>
        <v>0</v>
      </c>
      <c r="CZ80" s="24" t="s">
        <v>148</v>
      </c>
      <c r="DA80" s="68" t="s">
        <v>129</v>
      </c>
      <c r="DB80" s="234"/>
    </row>
    <row r="81" spans="1:106" ht="18.75" hidden="1" customHeight="1" x14ac:dyDescent="0.25">
      <c r="A81" s="17"/>
      <c r="CY81" s="14">
        <f>VLOOKUP($CY$109,$B$3:$CV$14,80,FALSE)</f>
        <v>11.52819</v>
      </c>
      <c r="CZ81" s="24" t="s">
        <v>154</v>
      </c>
      <c r="DA81" s="68" t="s">
        <v>135</v>
      </c>
      <c r="DB81" s="234"/>
    </row>
    <row r="82" spans="1:106" ht="18.75" hidden="1" customHeight="1" x14ac:dyDescent="0.25">
      <c r="A82" s="17"/>
      <c r="CY82" s="14">
        <f>VLOOKUP($CY$109,$B$3:$CV$14,81,FALSE)</f>
        <v>315.226</v>
      </c>
      <c r="CZ82" s="24" t="s">
        <v>145</v>
      </c>
      <c r="DA82" s="68" t="s">
        <v>125</v>
      </c>
      <c r="DB82" s="234">
        <v>2025</v>
      </c>
    </row>
    <row r="83" spans="1:106" ht="18.75" hidden="1" customHeight="1" x14ac:dyDescent="0.25">
      <c r="A83" s="17"/>
      <c r="CY83" s="14">
        <f>VLOOKUP($CY$109,$B$3:$CV$14,82,FALSE)</f>
        <v>95.197999999999993</v>
      </c>
      <c r="CZ83" s="24" t="s">
        <v>145</v>
      </c>
      <c r="DA83" s="68" t="s">
        <v>126</v>
      </c>
      <c r="DB83" s="234"/>
    </row>
    <row r="84" spans="1:106" ht="18.75" hidden="1" customHeight="1" x14ac:dyDescent="0.25">
      <c r="A84" s="17"/>
      <c r="CY84" s="14">
        <f>VLOOKUP($CY$109,$B$3:$CV$14,83,FALSE)</f>
        <v>0</v>
      </c>
      <c r="CZ84" s="24" t="s">
        <v>146</v>
      </c>
      <c r="DA84" s="68" t="s">
        <v>127</v>
      </c>
      <c r="DB84" s="234"/>
    </row>
    <row r="85" spans="1:106" ht="18.75" hidden="1" customHeight="1" x14ac:dyDescent="0.25">
      <c r="A85" s="17"/>
      <c r="CY85" s="14">
        <f>VLOOKUP($CY$109,$B$3:$CV$14,84,FALSE)</f>
        <v>51.356999999999999</v>
      </c>
      <c r="CZ85" s="24" t="s">
        <v>147</v>
      </c>
      <c r="DA85" s="68" t="s">
        <v>128</v>
      </c>
      <c r="DB85" s="234"/>
    </row>
    <row r="86" spans="1:106" ht="18.75" hidden="1" customHeight="1" x14ac:dyDescent="0.25">
      <c r="A86" s="17"/>
      <c r="CY86" s="14">
        <f>VLOOKUP($CY$109,$B$3:$CV$14,85,FALSE)</f>
        <v>0</v>
      </c>
      <c r="CZ86" s="24" t="s">
        <v>148</v>
      </c>
      <c r="DA86" s="68" t="s">
        <v>129</v>
      </c>
      <c r="DB86" s="234"/>
    </row>
    <row r="87" spans="1:106" ht="18.75" hidden="1" customHeight="1" x14ac:dyDescent="0.25">
      <c r="A87" s="17"/>
      <c r="CY87" s="14">
        <f>VLOOKUP($CY$109,$B$3:$CV$14,86,FALSE)</f>
        <v>247.54819000000001</v>
      </c>
      <c r="CZ87" s="24" t="s">
        <v>154</v>
      </c>
      <c r="DA87" s="68" t="s">
        <v>135</v>
      </c>
      <c r="DB87" s="234"/>
    </row>
    <row r="88" spans="1:106" ht="18.75" hidden="1" customHeight="1" x14ac:dyDescent="0.25">
      <c r="A88" s="17"/>
      <c r="CY88" s="14">
        <f>(CY23-CY36)*0.025</f>
        <v>184.01700000000002</v>
      </c>
      <c r="CZ88" s="98" t="s">
        <v>156</v>
      </c>
      <c r="DA88" s="102">
        <v>2024</v>
      </c>
      <c r="DB88" s="34"/>
    </row>
    <row r="89" spans="1:106" ht="18.75" hidden="1" customHeight="1" thickBot="1" x14ac:dyDescent="0.3">
      <c r="A89" s="17"/>
      <c r="CY89" s="103">
        <f>(CY37-CY50)*0.05</f>
        <v>379.83500000000004</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1303.7548854561642</v>
      </c>
      <c r="CZ92" s="98" t="s">
        <v>162</v>
      </c>
      <c r="DA92" s="97"/>
      <c r="DB92" s="34"/>
    </row>
    <row r="93" spans="1:106" ht="18.75" hidden="1" customHeight="1" x14ac:dyDescent="0.25">
      <c r="A93" s="17"/>
      <c r="CY93" s="14">
        <f>VLOOKUP($CY$109,$B$3:$CV$14,93,FALSE)</f>
        <v>1104.1020000000001</v>
      </c>
      <c r="CZ93" s="98" t="s">
        <v>163</v>
      </c>
      <c r="DA93" s="97"/>
      <c r="DB93" s="34"/>
    </row>
    <row r="94" spans="1:106" ht="18.75" hidden="1" customHeight="1" x14ac:dyDescent="0.25">
      <c r="A94" s="17"/>
      <c r="CY94" s="14">
        <f>VLOOKUP($CY$109,$B$3:$CV$14,94,FALSE)</f>
        <v>1139.5050000000001</v>
      </c>
      <c r="CZ94" s="98" t="s">
        <v>164</v>
      </c>
      <c r="DA94" s="97"/>
      <c r="DB94" s="34"/>
    </row>
    <row r="95" spans="1:106" ht="18.75" hidden="1" customHeight="1" x14ac:dyDescent="0.25">
      <c r="A95" s="17"/>
      <c r="CY95" s="115" t="str">
        <f>VLOOKUP($CY$109,$B$3:$CV$14,95,FALSE)</f>
        <v>665</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t="str">
        <f>VLOOKUP($CY$109,$B$3:$CV$14,90,FALSE)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Z97" s="98" t="s">
        <v>358</v>
      </c>
      <c r="DA97" s="97"/>
      <c r="DB97" s="34"/>
    </row>
    <row r="98" spans="1:106" ht="18.75" hidden="1" customHeight="1" x14ac:dyDescent="0.25">
      <c r="A98" s="17"/>
      <c r="CY98" s="117" t="str">
        <f>VLOOKUP($CY$109,$B$3:$CV$14,91,FALSE)</f>
        <v xml:space="preserve">Субсидия бюджету Чеченской Республики в соответствии со ст. 142.2 Бюджетного кодекса Российской Федерации </v>
      </c>
      <c r="CZ98" s="98" t="s">
        <v>359</v>
      </c>
      <c r="DA98" s="97"/>
      <c r="DB98" s="34"/>
    </row>
    <row r="99" spans="1:106" ht="18.75" hidden="1" customHeight="1" x14ac:dyDescent="0.25">
      <c r="A99" s="17"/>
      <c r="CY99" s="14">
        <f>VLOOKUP($CY$109,$B$3:$CX$14,100,FALSE)</f>
        <v>23</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73</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CY6" sqref="CY6"/>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НАДТЕРЕЧНЕНСКОГО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с.Надтеречное</v>
      </c>
    </row>
    <row r="11" spans="2:10" ht="7.15" customHeight="1" x14ac:dyDescent="0.25"/>
    <row r="12" spans="2:10" ht="20.45" customHeight="1" x14ac:dyDescent="0.3">
      <c r="F12" s="127" t="str">
        <f>CONCATENATE("Решение № ",'Выбор поселения'!CY6)</f>
        <v>Решение № 25</v>
      </c>
    </row>
    <row r="14" spans="2:10" ht="31.5" customHeight="1" x14ac:dyDescent="0.3">
      <c r="B14" s="128" t="str">
        <f>CONCATENATE("от  « ",'Выбор поселения'!CY7," » декабря 2025 г.")</f>
        <v>от  « 30 » декабря 2025 г.</v>
      </c>
      <c r="J14" s="129" t="str">
        <f>CONCATENATE("с.",'Выбор поселения'!CY4)</f>
        <v>с.Надтеречное</v>
      </c>
    </row>
    <row r="17" spans="1:11" ht="18.75" x14ac:dyDescent="0.3">
      <c r="A17" s="241" t="str">
        <f>CONCATENATE("«О бюджете  ",'Выбор поселения'!CY8," сельского поселения на 2026 год»")</f>
        <v>«О бюджете  Надтеречненского сельского поселения на 2026 год»</v>
      </c>
      <c r="B17" s="241"/>
      <c r="C17" s="241"/>
      <c r="D17" s="241"/>
      <c r="E17" s="241"/>
      <c r="F17" s="241"/>
      <c r="G17" s="241"/>
      <c r="H17" s="241"/>
      <c r="I17" s="241"/>
      <c r="J17" s="241"/>
    </row>
    <row r="19" spans="1:11" ht="18.75" x14ac:dyDescent="0.3">
      <c r="A19" s="241"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1"/>
      <c r="C19" s="241"/>
      <c r="D19" s="241"/>
      <c r="E19" s="241"/>
      <c r="F19" s="241"/>
      <c r="G19" s="241"/>
      <c r="H19" s="241"/>
      <c r="I19" s="241"/>
      <c r="J19" s="241"/>
    </row>
    <row r="20" spans="1:11" ht="15.75" customHeight="1" x14ac:dyDescent="0.3">
      <c r="A20" s="238"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Надтеречненского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8"/>
      <c r="C20" s="238"/>
      <c r="D20" s="238"/>
      <c r="E20" s="238"/>
      <c r="F20" s="238"/>
      <c r="G20" s="238"/>
      <c r="H20" s="238"/>
      <c r="I20" s="238"/>
      <c r="J20" s="238"/>
      <c r="K20" s="130"/>
    </row>
    <row r="21" spans="1:11" ht="59.45" customHeight="1" x14ac:dyDescent="0.3">
      <c r="A21" s="238"/>
      <c r="B21" s="238"/>
      <c r="C21" s="238"/>
      <c r="D21" s="238"/>
      <c r="E21" s="238"/>
      <c r="F21" s="238"/>
      <c r="G21" s="238"/>
      <c r="H21" s="238"/>
      <c r="I21" s="238"/>
      <c r="J21" s="238"/>
      <c r="K21" s="130"/>
    </row>
    <row r="22" spans="1:11" s="132" customFormat="1" ht="78.599999999999994" customHeight="1" x14ac:dyDescent="0.3">
      <c r="A22" s="238"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9765,150 тыс. рублей, в том числе безвозмездных и безвозвратных поступлений из районного бюджета 3203,750 тыс рублей, налоговых и неналоговых доходов       6561,400 тыс. рублей;</v>
      </c>
      <c r="B22" s="238"/>
      <c r="C22" s="238"/>
      <c r="D22" s="238"/>
      <c r="E22" s="238"/>
      <c r="F22" s="238"/>
      <c r="G22" s="238"/>
      <c r="H22" s="238"/>
      <c r="I22" s="238"/>
      <c r="J22" s="238"/>
      <c r="K22" s="131"/>
    </row>
    <row r="23" spans="1:11" s="132" customFormat="1" ht="41.25" customHeight="1" x14ac:dyDescent="0.3">
      <c r="A23" s="243"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9765,150 тыс. рублей;</v>
      </c>
      <c r="B23" s="243"/>
      <c r="C23" s="243"/>
      <c r="D23" s="243"/>
      <c r="E23" s="243"/>
      <c r="F23" s="243"/>
      <c r="G23" s="243"/>
      <c r="H23" s="243"/>
      <c r="I23" s="243"/>
      <c r="J23" s="243"/>
      <c r="K23" s="131"/>
    </row>
    <row r="24" spans="1:11" s="132" customFormat="1" ht="18.75" x14ac:dyDescent="0.3">
      <c r="A24" s="243" t="str">
        <f>CONCATENATE("3)дефицит (профицит) бюджета сельского поселения в сумме 0 тыс. рублей.")</f>
        <v>3)дефицит (профицит) бюджета сельского поселения в сумме 0 тыс. рублей.</v>
      </c>
      <c r="B24" s="243"/>
      <c r="C24" s="243"/>
      <c r="D24" s="243"/>
      <c r="E24" s="243"/>
      <c r="F24" s="243"/>
      <c r="G24" s="243"/>
      <c r="H24" s="243"/>
      <c r="I24" s="243"/>
      <c r="J24" s="243"/>
      <c r="K24" s="131"/>
    </row>
    <row r="25" spans="1:11" ht="18.75" x14ac:dyDescent="0.3">
      <c r="A25" s="239"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39"/>
      <c r="C25" s="239"/>
      <c r="D25" s="239"/>
      <c r="E25" s="239"/>
      <c r="F25" s="239"/>
      <c r="G25" s="239"/>
      <c r="H25" s="239"/>
      <c r="I25" s="239"/>
      <c r="J25" s="239"/>
      <c r="K25" s="131"/>
    </row>
    <row r="26" spans="1:11" ht="256.5" customHeight="1" x14ac:dyDescent="0.3">
      <c r="A26" s="242" t="s">
        <v>405</v>
      </c>
      <c r="B26" s="242"/>
      <c r="C26" s="242"/>
      <c r="D26" s="242"/>
      <c r="E26" s="242"/>
      <c r="F26" s="242"/>
      <c r="G26" s="242"/>
      <c r="H26" s="242"/>
      <c r="I26" s="242"/>
      <c r="J26" s="242"/>
      <c r="K26" s="131"/>
    </row>
    <row r="27" spans="1:11" ht="18.75" x14ac:dyDescent="0.3">
      <c r="A27" s="239" t="str">
        <f>CONCATENATE("Статья 3. Прогноз поступления доходов в бюджет  сельского поселения.")</f>
        <v>Статья 3. Прогноз поступления доходов в бюджет  сельского поселения.</v>
      </c>
      <c r="B27" s="239"/>
      <c r="C27" s="239"/>
      <c r="D27" s="239"/>
      <c r="E27" s="239"/>
      <c r="F27" s="239"/>
      <c r="G27" s="239"/>
      <c r="H27" s="239"/>
      <c r="I27" s="239"/>
      <c r="J27" s="239"/>
      <c r="K27" s="131"/>
    </row>
    <row r="28" spans="1:11" ht="39.75" customHeight="1" x14ac:dyDescent="0.3">
      <c r="A28" s="243" t="s">
        <v>383</v>
      </c>
      <c r="B28" s="243"/>
      <c r="C28" s="243"/>
      <c r="D28" s="243"/>
      <c r="E28" s="243"/>
      <c r="F28" s="243"/>
      <c r="G28" s="243"/>
      <c r="H28" s="243"/>
      <c r="I28" s="243"/>
      <c r="J28" s="243"/>
      <c r="K28" s="131"/>
    </row>
    <row r="29" spans="1:11" ht="18.75" x14ac:dyDescent="0.3">
      <c r="A29" s="239" t="s">
        <v>377</v>
      </c>
      <c r="B29" s="239"/>
      <c r="C29" s="239"/>
      <c r="D29" s="239"/>
      <c r="E29" s="239"/>
      <c r="F29" s="239"/>
      <c r="G29" s="239"/>
      <c r="H29" s="239"/>
      <c r="I29" s="239"/>
      <c r="J29" s="239"/>
      <c r="K29" s="131"/>
    </row>
    <row r="30" spans="1:11" ht="130.15" customHeight="1" x14ac:dyDescent="0.3">
      <c r="A30" s="243" t="s">
        <v>384</v>
      </c>
      <c r="B30" s="243"/>
      <c r="C30" s="243"/>
      <c r="D30" s="243"/>
      <c r="E30" s="243"/>
      <c r="F30" s="243"/>
      <c r="G30" s="243"/>
      <c r="H30" s="243"/>
      <c r="I30" s="243"/>
      <c r="J30" s="243"/>
      <c r="K30" s="131"/>
    </row>
    <row r="31" spans="1:11" ht="23.25" customHeight="1" x14ac:dyDescent="0.3">
      <c r="A31" s="243" t="s">
        <v>385</v>
      </c>
      <c r="B31" s="243"/>
      <c r="C31" s="243"/>
      <c r="D31" s="243"/>
      <c r="E31" s="243"/>
      <c r="F31" s="243"/>
      <c r="G31" s="243"/>
      <c r="H31" s="243"/>
      <c r="I31" s="243"/>
      <c r="J31" s="243"/>
      <c r="K31" s="131"/>
    </row>
    <row r="32" spans="1:11" ht="97.5" customHeight="1" x14ac:dyDescent="0.3">
      <c r="A32" s="243" t="s">
        <v>386</v>
      </c>
      <c r="B32" s="243"/>
      <c r="C32" s="243"/>
      <c r="D32" s="243"/>
      <c r="E32" s="243"/>
      <c r="F32" s="243"/>
      <c r="G32" s="243"/>
      <c r="H32" s="243"/>
      <c r="I32" s="243"/>
      <c r="J32" s="243"/>
      <c r="K32" s="131"/>
    </row>
    <row r="33" spans="1:11" ht="18.75" x14ac:dyDescent="0.3">
      <c r="A33" s="239" t="s">
        <v>378</v>
      </c>
      <c r="B33" s="239"/>
      <c r="C33" s="239"/>
      <c r="D33" s="239"/>
      <c r="E33" s="239"/>
      <c r="F33" s="239"/>
      <c r="G33" s="239"/>
      <c r="H33" s="239"/>
      <c r="I33" s="239"/>
      <c r="J33" s="239"/>
      <c r="K33" s="131"/>
    </row>
    <row r="34" spans="1:11" ht="81" customHeight="1" x14ac:dyDescent="0.25">
      <c r="A34" s="245"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B34" s="245"/>
      <c r="C34" s="245"/>
      <c r="D34" s="245"/>
      <c r="E34" s="245"/>
      <c r="F34" s="245"/>
      <c r="G34" s="245"/>
      <c r="H34" s="245"/>
      <c r="I34" s="245"/>
      <c r="J34" s="245"/>
      <c r="K34" s="131"/>
    </row>
    <row r="35" spans="1:11" ht="40.15" customHeight="1" x14ac:dyDescent="0.25">
      <c r="A35" s="245"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5"/>
      <c r="C35" s="245"/>
      <c r="D35" s="245"/>
      <c r="E35" s="245"/>
      <c r="F35" s="245"/>
      <c r="G35" s="245"/>
      <c r="H35" s="245"/>
      <c r="I35" s="245"/>
      <c r="J35" s="245"/>
      <c r="K35" s="131"/>
    </row>
    <row r="36" spans="1:11" ht="18.75" x14ac:dyDescent="0.3">
      <c r="A36" s="239" t="s">
        <v>158</v>
      </c>
      <c r="B36" s="239"/>
      <c r="C36" s="239"/>
      <c r="D36" s="239"/>
      <c r="E36" s="239"/>
      <c r="F36" s="239"/>
      <c r="G36" s="239"/>
      <c r="H36" s="239"/>
      <c r="I36" s="239"/>
      <c r="J36" s="239"/>
      <c r="K36" s="131"/>
    </row>
    <row r="37" spans="1:11" ht="76.900000000000006" customHeight="1" x14ac:dyDescent="0.3">
      <c r="A37" s="243" t="s">
        <v>387</v>
      </c>
      <c r="B37" s="243"/>
      <c r="C37" s="243"/>
      <c r="D37" s="243"/>
      <c r="E37" s="243"/>
      <c r="F37" s="243"/>
      <c r="G37" s="243"/>
      <c r="H37" s="243"/>
      <c r="I37" s="243"/>
      <c r="J37" s="243"/>
      <c r="K37" s="131"/>
    </row>
    <row r="38" spans="1:11" ht="118.15" customHeight="1" x14ac:dyDescent="0.3">
      <c r="A38" s="243" t="s">
        <v>379</v>
      </c>
      <c r="B38" s="243"/>
      <c r="C38" s="243"/>
      <c r="D38" s="243"/>
      <c r="E38" s="243"/>
      <c r="F38" s="243"/>
      <c r="G38" s="243"/>
      <c r="H38" s="243"/>
      <c r="I38" s="243"/>
      <c r="J38" s="243"/>
      <c r="K38" s="131"/>
    </row>
    <row r="39" spans="1:11" ht="103.5" customHeight="1" x14ac:dyDescent="0.3">
      <c r="A39" s="244" t="s">
        <v>295</v>
      </c>
      <c r="B39" s="244"/>
      <c r="C39" s="244"/>
      <c r="D39" s="244"/>
      <c r="E39" s="244"/>
      <c r="F39" s="244"/>
      <c r="G39" s="244"/>
      <c r="H39" s="244"/>
      <c r="I39" s="244"/>
      <c r="J39" s="244"/>
      <c r="K39" s="131"/>
    </row>
    <row r="40" spans="1:11" ht="57.6" customHeight="1" x14ac:dyDescent="0.3">
      <c r="A40" s="239" t="s">
        <v>388</v>
      </c>
      <c r="B40" s="239"/>
      <c r="C40" s="239"/>
      <c r="D40" s="239"/>
      <c r="E40" s="239"/>
      <c r="F40" s="239"/>
      <c r="G40" s="239"/>
      <c r="H40" s="239"/>
      <c r="I40" s="239"/>
      <c r="J40" s="239"/>
      <c r="K40" s="131"/>
    </row>
    <row r="41" spans="1:11" ht="126" customHeight="1" x14ac:dyDescent="0.3">
      <c r="A41" s="238" t="s">
        <v>406</v>
      </c>
      <c r="B41" s="238"/>
      <c r="C41" s="238"/>
      <c r="D41" s="238"/>
      <c r="E41" s="238"/>
      <c r="F41" s="238"/>
      <c r="G41" s="238"/>
      <c r="H41" s="238"/>
      <c r="I41" s="238"/>
      <c r="J41" s="238"/>
      <c r="K41" s="131"/>
    </row>
    <row r="42" spans="1:11" ht="66.75" customHeight="1" x14ac:dyDescent="0.3">
      <c r="A42" s="238"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1303,755 тыс. рублей.</v>
      </c>
      <c r="B42" s="238"/>
      <c r="C42" s="238"/>
      <c r="D42" s="238"/>
      <c r="E42" s="238"/>
      <c r="F42" s="238"/>
      <c r="G42" s="238"/>
      <c r="H42" s="238"/>
      <c r="I42" s="238"/>
      <c r="J42" s="238"/>
      <c r="K42" s="131"/>
    </row>
    <row r="43" spans="1:11" ht="61.9" customHeight="1" x14ac:dyDescent="0.3">
      <c r="A43" s="238" t="s">
        <v>389</v>
      </c>
      <c r="B43" s="238"/>
      <c r="C43" s="238"/>
      <c r="D43" s="238"/>
      <c r="E43" s="238"/>
      <c r="F43" s="238"/>
      <c r="G43" s="238"/>
      <c r="H43" s="238"/>
      <c r="I43" s="238"/>
      <c r="J43" s="238"/>
      <c r="K43" s="131"/>
    </row>
    <row r="44" spans="1:11" ht="108.75" customHeight="1" x14ac:dyDescent="0.3">
      <c r="A44" s="238" t="s">
        <v>390</v>
      </c>
      <c r="B44" s="238"/>
      <c r="C44" s="238"/>
      <c r="D44" s="238"/>
      <c r="E44" s="238"/>
      <c r="F44" s="238"/>
      <c r="G44" s="238"/>
      <c r="H44" s="238"/>
      <c r="I44" s="238"/>
      <c r="J44" s="238"/>
      <c r="K44" s="131"/>
    </row>
    <row r="45" spans="1:11" ht="50.45" customHeight="1" x14ac:dyDescent="0.3">
      <c r="A45" s="239" t="s">
        <v>395</v>
      </c>
      <c r="B45" s="239"/>
      <c r="C45" s="239"/>
      <c r="D45" s="239"/>
      <c r="E45" s="239"/>
      <c r="F45" s="239"/>
      <c r="G45" s="239"/>
      <c r="H45" s="239"/>
      <c r="I45" s="239"/>
      <c r="J45" s="239"/>
      <c r="K45" s="131"/>
    </row>
    <row r="46" spans="1:11" ht="79.150000000000006" customHeight="1" x14ac:dyDescent="0.3">
      <c r="A46" s="238" t="s">
        <v>165</v>
      </c>
      <c r="B46" s="238"/>
      <c r="C46" s="238"/>
      <c r="D46" s="238"/>
      <c r="E46" s="238"/>
      <c r="F46" s="238"/>
      <c r="G46" s="238"/>
      <c r="H46" s="238"/>
      <c r="I46" s="238"/>
      <c r="J46" s="238"/>
      <c r="K46" s="131"/>
    </row>
    <row r="47" spans="1:11" ht="129" customHeight="1" x14ac:dyDescent="0.3">
      <c r="A47" s="238" t="s">
        <v>391</v>
      </c>
      <c r="B47" s="238"/>
      <c r="C47" s="238"/>
      <c r="D47" s="238"/>
      <c r="E47" s="238"/>
      <c r="F47" s="238"/>
      <c r="G47" s="238"/>
      <c r="H47" s="238"/>
      <c r="I47" s="238"/>
      <c r="J47" s="238"/>
      <c r="K47" s="131"/>
    </row>
    <row r="48" spans="1:11" ht="105.75" customHeight="1" x14ac:dyDescent="0.3">
      <c r="A48" s="238" t="s">
        <v>364</v>
      </c>
      <c r="B48" s="238"/>
      <c r="C48" s="238"/>
      <c r="D48" s="238"/>
      <c r="E48" s="238"/>
      <c r="F48" s="238"/>
      <c r="G48" s="238"/>
      <c r="H48" s="238"/>
      <c r="I48" s="238"/>
      <c r="J48" s="238"/>
      <c r="K48" s="131"/>
    </row>
    <row r="49" spans="1:11" ht="135" customHeight="1" x14ac:dyDescent="0.3">
      <c r="A49" s="238" t="s">
        <v>166</v>
      </c>
      <c r="B49" s="238"/>
      <c r="C49" s="238"/>
      <c r="D49" s="238"/>
      <c r="E49" s="238"/>
      <c r="F49" s="238"/>
      <c r="G49" s="238"/>
      <c r="H49" s="238"/>
      <c r="I49" s="238"/>
      <c r="J49" s="238"/>
      <c r="K49" s="131"/>
    </row>
    <row r="50" spans="1:11" ht="63" customHeight="1" x14ac:dyDescent="0.3">
      <c r="A50" s="238" t="s">
        <v>392</v>
      </c>
      <c r="B50" s="238"/>
      <c r="C50" s="238"/>
      <c r="D50" s="238"/>
      <c r="E50" s="238"/>
      <c r="F50" s="238"/>
      <c r="G50" s="238"/>
      <c r="H50" s="238"/>
      <c r="I50" s="238"/>
      <c r="J50" s="238"/>
      <c r="K50" s="131"/>
    </row>
    <row r="51" spans="1:11" ht="150.6" customHeight="1" x14ac:dyDescent="0.3">
      <c r="A51" s="238" t="s">
        <v>365</v>
      </c>
      <c r="B51" s="238"/>
      <c r="C51" s="238"/>
      <c r="D51" s="238"/>
      <c r="E51" s="238"/>
      <c r="F51" s="238"/>
      <c r="G51" s="238"/>
      <c r="H51" s="238"/>
      <c r="I51" s="238"/>
      <c r="J51" s="238"/>
      <c r="K51" s="131"/>
    </row>
    <row r="52" spans="1:11" ht="157.9" customHeight="1" x14ac:dyDescent="0.3">
      <c r="A52" s="238" t="s">
        <v>362</v>
      </c>
      <c r="B52" s="238"/>
      <c r="C52" s="238"/>
      <c r="D52" s="238"/>
      <c r="E52" s="238"/>
      <c r="F52" s="238"/>
      <c r="G52" s="238"/>
      <c r="H52" s="238"/>
      <c r="I52" s="238"/>
      <c r="J52" s="238"/>
      <c r="K52" s="131"/>
    </row>
    <row r="53" spans="1:11" ht="165" customHeight="1" x14ac:dyDescent="0.3">
      <c r="A53" s="238" t="s">
        <v>363</v>
      </c>
      <c r="B53" s="238"/>
      <c r="C53" s="238"/>
      <c r="D53" s="238"/>
      <c r="E53" s="238"/>
      <c r="F53" s="238"/>
      <c r="G53" s="238"/>
      <c r="H53" s="238"/>
      <c r="I53" s="238"/>
      <c r="J53" s="238"/>
      <c r="K53" s="131"/>
    </row>
    <row r="54" spans="1:11" ht="37.9" customHeight="1" x14ac:dyDescent="0.3">
      <c r="A54" s="239" t="s">
        <v>167</v>
      </c>
      <c r="B54" s="239"/>
      <c r="C54" s="239"/>
      <c r="D54" s="239"/>
      <c r="E54" s="239"/>
      <c r="F54" s="239"/>
      <c r="G54" s="239"/>
      <c r="H54" s="239"/>
      <c r="I54" s="239"/>
      <c r="J54" s="239"/>
    </row>
    <row r="55" spans="1:11" ht="43.5" customHeight="1" x14ac:dyDescent="0.3">
      <c r="A55" s="238" t="s">
        <v>393</v>
      </c>
      <c r="B55" s="238"/>
      <c r="C55" s="238"/>
      <c r="D55" s="238"/>
      <c r="E55" s="238"/>
      <c r="F55" s="238"/>
      <c r="G55" s="238"/>
      <c r="H55" s="238"/>
      <c r="I55" s="238"/>
      <c r="J55" s="238"/>
    </row>
    <row r="56" spans="1:11" ht="31.9" customHeight="1" x14ac:dyDescent="0.3">
      <c r="A56" s="239" t="s">
        <v>168</v>
      </c>
      <c r="B56" s="239"/>
      <c r="C56" s="239"/>
      <c r="D56" s="239"/>
      <c r="E56" s="239"/>
      <c r="F56" s="239"/>
      <c r="G56" s="239"/>
      <c r="H56" s="239"/>
      <c r="I56" s="239"/>
      <c r="J56" s="239"/>
    </row>
    <row r="57" spans="1:11" ht="19.149999999999999" hidden="1" customHeight="1" x14ac:dyDescent="0.3">
      <c r="A57" s="133"/>
      <c r="B57" s="238"/>
      <c r="C57" s="238"/>
      <c r="D57" s="238"/>
      <c r="E57" s="238"/>
      <c r="F57" s="238"/>
      <c r="G57" s="238"/>
      <c r="H57" s="238"/>
      <c r="I57" s="238"/>
      <c r="J57" s="238"/>
    </row>
    <row r="58" spans="1:11" ht="33.6" customHeight="1" x14ac:dyDescent="0.3">
      <c r="A58" s="238" t="s">
        <v>169</v>
      </c>
      <c r="B58" s="238"/>
      <c r="C58" s="238"/>
      <c r="D58" s="238"/>
      <c r="E58" s="238"/>
      <c r="F58" s="238"/>
      <c r="G58" s="238"/>
      <c r="H58" s="238"/>
      <c r="I58" s="238"/>
      <c r="J58" s="238"/>
    </row>
    <row r="59" spans="1:11" ht="22.5" customHeight="1" x14ac:dyDescent="0.3">
      <c r="A59" s="238" t="s">
        <v>394</v>
      </c>
      <c r="B59" s="238"/>
      <c r="C59" s="238"/>
      <c r="D59" s="238"/>
      <c r="E59" s="238"/>
      <c r="F59" s="238"/>
      <c r="G59" s="238"/>
      <c r="H59" s="238"/>
      <c r="I59" s="238"/>
      <c r="J59" s="238"/>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Надтеречненского</v>
      </c>
      <c r="B63" s="135"/>
      <c r="C63" s="135"/>
      <c r="D63" s="136"/>
      <c r="E63" s="136"/>
      <c r="F63" s="136"/>
      <c r="G63" s="136"/>
      <c r="H63" s="136"/>
      <c r="I63" s="136"/>
      <c r="J63" s="136"/>
    </row>
    <row r="64" spans="1:11" ht="18.75" x14ac:dyDescent="0.3">
      <c r="A64" s="135" t="s">
        <v>9</v>
      </c>
      <c r="B64" s="135"/>
      <c r="C64" s="135"/>
      <c r="D64" s="135"/>
      <c r="E64" s="136"/>
      <c r="F64" s="136"/>
      <c r="G64" s="136"/>
      <c r="H64" s="240" t="str">
        <f>'Выбор поселения'!CY3</f>
        <v>Фамилия И.О.</v>
      </c>
      <c r="I64" s="240"/>
      <c r="J64" s="240"/>
    </row>
    <row r="65" spans="2:10" ht="18.75" x14ac:dyDescent="0.3">
      <c r="B65" s="136"/>
      <c r="C65" s="136"/>
      <c r="D65" s="136"/>
      <c r="E65" s="136"/>
      <c r="F65" s="136"/>
      <c r="G65" s="136"/>
      <c r="H65" s="136"/>
      <c r="I65" s="136"/>
      <c r="J65" s="136"/>
    </row>
  </sheetData>
  <mergeCells count="42">
    <mergeCell ref="A38:J38"/>
    <mergeCell ref="A47:J47"/>
    <mergeCell ref="A36:J36"/>
    <mergeCell ref="A25:J25"/>
    <mergeCell ref="A31:J31"/>
    <mergeCell ref="A32:J32"/>
    <mergeCell ref="A33:J33"/>
    <mergeCell ref="A34:J34"/>
    <mergeCell ref="A35:J35"/>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H64:J64"/>
    <mergeCell ref="A55:J55"/>
    <mergeCell ref="A56:J56"/>
    <mergeCell ref="A58:J58"/>
    <mergeCell ref="A59:J59"/>
    <mergeCell ref="A49:J49"/>
    <mergeCell ref="A51:J51"/>
    <mergeCell ref="A52:J52"/>
    <mergeCell ref="A54:J54"/>
    <mergeCell ref="A42:J42"/>
    <mergeCell ref="A43:J43"/>
    <mergeCell ref="A44:J44"/>
    <mergeCell ref="A45:J45"/>
    <mergeCell ref="A46:J46"/>
    <mergeCell ref="A53:J53"/>
    <mergeCell ref="A48:J48"/>
    <mergeCell ref="A50:J50"/>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topLeftCell="A7" zoomScale="70" zoomScaleSheetLayoutView="70" workbookViewId="0">
      <selection activeCell="C37" sqref="C37"/>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3" x14ac:dyDescent="0.25">
      <c r="A3" s="111"/>
      <c r="B3" s="112"/>
      <c r="C3" s="113" t="str">
        <f>CONCATENATE("О бюджете ",'Выбор поселения'!CY8," сельского поселения на 2026 год")</f>
        <v>О бюджете Надтеречненского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25</v>
      </c>
    </row>
    <row r="5" spans="1:3" x14ac:dyDescent="0.25">
      <c r="A5" s="111"/>
      <c r="B5" s="112"/>
      <c r="C5" s="113"/>
    </row>
    <row r="6" spans="1:3" x14ac:dyDescent="0.25">
      <c r="C6" s="139"/>
    </row>
    <row r="7" spans="1:3" x14ac:dyDescent="0.25">
      <c r="C7" s="140"/>
    </row>
    <row r="9" spans="1:3" ht="20.25" customHeight="1" x14ac:dyDescent="0.3">
      <c r="A9" s="246" t="s">
        <v>382</v>
      </c>
      <c r="B9" s="246"/>
      <c r="C9" s="246"/>
    </row>
    <row r="10" spans="1:3" ht="20.25" x14ac:dyDescent="0.3">
      <c r="A10" s="246"/>
      <c r="B10" s="246"/>
      <c r="C10" s="246"/>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6723.1656400000002</v>
      </c>
    </row>
    <row r="15" spans="1:3" ht="18.75" x14ac:dyDescent="0.25">
      <c r="A15" s="247" t="s">
        <v>177</v>
      </c>
      <c r="B15" s="247"/>
      <c r="C15" s="145">
        <f>SUM(C16:C26)</f>
        <v>6699.1656400000002</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1500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4.4000000000000004</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11</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23</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400</v>
      </c>
    </row>
    <row r="22" spans="1:3" ht="75" x14ac:dyDescent="0.25">
      <c r="A22" s="146" t="s">
        <v>83</v>
      </c>
      <c r="B22" s="119" t="s">
        <v>93</v>
      </c>
      <c r="C22" s="147">
        <f>'Выбор поселения'!CY15</f>
        <v>40</v>
      </c>
    </row>
    <row r="23" spans="1:3" ht="18.75" x14ac:dyDescent="0.25">
      <c r="A23" s="148" t="s">
        <v>84</v>
      </c>
      <c r="B23" s="119" t="s">
        <v>94</v>
      </c>
      <c r="C23" s="147">
        <f>'Выбор поселения'!CY16</f>
        <v>15</v>
      </c>
    </row>
    <row r="24" spans="1:3" ht="56.25" x14ac:dyDescent="0.25">
      <c r="A24" s="148" t="s">
        <v>85</v>
      </c>
      <c r="B24" s="119" t="s">
        <v>95</v>
      </c>
      <c r="C24" s="147">
        <f>'Выбор поселения'!CY17+161.76564</f>
        <v>2961.7656400000001</v>
      </c>
    </row>
    <row r="25" spans="1:3" ht="37.5" x14ac:dyDescent="0.25">
      <c r="A25" s="148" t="s">
        <v>86</v>
      </c>
      <c r="B25" s="119" t="s">
        <v>96</v>
      </c>
      <c r="C25" s="147">
        <f>'Выбор поселения'!CY18</f>
        <v>644</v>
      </c>
    </row>
    <row r="26" spans="1:3" ht="37.5" x14ac:dyDescent="0.25">
      <c r="A26" s="148" t="s">
        <v>87</v>
      </c>
      <c r="B26" s="119" t="s">
        <v>97</v>
      </c>
      <c r="C26" s="147">
        <f>'Выбор поселения'!CY19</f>
        <v>1100</v>
      </c>
    </row>
    <row r="27" spans="1:3" ht="18.75" x14ac:dyDescent="0.25">
      <c r="A27" s="248" t="s">
        <v>178</v>
      </c>
      <c r="B27" s="248"/>
      <c r="C27" s="145">
        <f>C28</f>
        <v>24</v>
      </c>
    </row>
    <row r="28" spans="1:3" ht="75" x14ac:dyDescent="0.25">
      <c r="A28" s="148" t="s">
        <v>88</v>
      </c>
      <c r="B28" s="119" t="s">
        <v>98</v>
      </c>
      <c r="C28" s="147">
        <f>'Выбор поселения'!CY20</f>
        <v>24</v>
      </c>
    </row>
    <row r="29" spans="1:3" ht="18.75" x14ac:dyDescent="0.25">
      <c r="A29" s="143" t="s">
        <v>179</v>
      </c>
      <c r="B29" s="144" t="s">
        <v>180</v>
      </c>
      <c r="C29" s="145">
        <f>C30</f>
        <v>7203.7502363744297</v>
      </c>
    </row>
    <row r="30" spans="1:3" ht="37.5" x14ac:dyDescent="0.25">
      <c r="A30" s="149" t="s">
        <v>181</v>
      </c>
      <c r="B30" s="150" t="s">
        <v>182</v>
      </c>
      <c r="C30" s="147">
        <f>C33+C34+C36</f>
        <v>7203.7502363744297</v>
      </c>
    </row>
    <row r="31" spans="1:3" ht="18.75" x14ac:dyDescent="0.25">
      <c r="A31" s="148" t="s">
        <v>183</v>
      </c>
      <c r="B31" s="119" t="s">
        <v>184</v>
      </c>
      <c r="C31" s="147">
        <f>C32</f>
        <v>2130.2992363744297</v>
      </c>
    </row>
    <row r="32" spans="1:3" ht="18.75" x14ac:dyDescent="0.25">
      <c r="A32" s="148" t="s">
        <v>185</v>
      </c>
      <c r="B32" s="119" t="s">
        <v>186</v>
      </c>
      <c r="C32" s="147">
        <f>C33</f>
        <v>2130.2992363744297</v>
      </c>
    </row>
    <row r="33" spans="1:3" ht="37.5" x14ac:dyDescent="0.25">
      <c r="A33" s="148" t="s">
        <v>187</v>
      </c>
      <c r="B33" s="119" t="s">
        <v>188</v>
      </c>
      <c r="C33" s="147">
        <f>'Выбор поселения'!CY21</f>
        <v>2130.2992363744297</v>
      </c>
    </row>
    <row r="34" spans="1:3" ht="18.75" x14ac:dyDescent="0.25">
      <c r="A34" s="148" t="s">
        <v>189</v>
      </c>
      <c r="B34" s="119" t="s">
        <v>190</v>
      </c>
      <c r="C34" s="147">
        <f>C35</f>
        <v>1073.451</v>
      </c>
    </row>
    <row r="35" spans="1:3" ht="37.5" x14ac:dyDescent="0.25">
      <c r="A35" s="148" t="s">
        <v>191</v>
      </c>
      <c r="B35" s="119" t="s">
        <v>192</v>
      </c>
      <c r="C35" s="147">
        <f>'Выбор поселения'!CY22</f>
        <v>1073.451</v>
      </c>
    </row>
    <row r="36" spans="1:3" ht="18.75" x14ac:dyDescent="0.25">
      <c r="A36" s="148" t="s">
        <v>409</v>
      </c>
      <c r="B36" s="119" t="s">
        <v>410</v>
      </c>
      <c r="C36" s="147">
        <v>4000</v>
      </c>
    </row>
    <row r="37" spans="1:3" ht="18.75" x14ac:dyDescent="0.25">
      <c r="A37" s="249" t="s">
        <v>193</v>
      </c>
      <c r="B37" s="249"/>
      <c r="C37" s="145">
        <f>C29+C14</f>
        <v>13926.915876374431</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I7" sqref="I7"/>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7" x14ac:dyDescent="0.25">
      <c r="A3" s="111"/>
      <c r="B3" s="112"/>
      <c r="G3" s="113" t="str">
        <f>CONCATENATE("О бюджете ",'Выбор поселения'!CY8," сельского поселения на 2026 год")</f>
        <v>О бюджете Надтеречненского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25</v>
      </c>
    </row>
    <row r="5" spans="1:7" x14ac:dyDescent="0.25">
      <c r="A5" s="111"/>
      <c r="B5" s="112"/>
      <c r="C5" s="113"/>
      <c r="E5" s="120" t="s">
        <v>442</v>
      </c>
    </row>
    <row r="6" spans="1:7" x14ac:dyDescent="0.25">
      <c r="C6" s="139"/>
    </row>
    <row r="7" spans="1:7" ht="20.25" customHeight="1" x14ac:dyDescent="0.3">
      <c r="A7" s="246" t="s">
        <v>381</v>
      </c>
      <c r="B7" s="246"/>
      <c r="C7" s="246"/>
      <c r="D7" s="246"/>
      <c r="E7" s="246"/>
      <c r="F7" s="246"/>
      <c r="G7" s="246"/>
    </row>
    <row r="8" spans="1:7" ht="20.25" x14ac:dyDescent="0.3">
      <c r="A8" s="246"/>
      <c r="B8" s="246"/>
      <c r="C8" s="246"/>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Надтеречненского сельского поселения Надтеречного муниципального района Чеченской Республики</v>
      </c>
      <c r="B12" s="121" t="str">
        <f>'Выбор поселения'!$CY$95</f>
        <v>665</v>
      </c>
      <c r="C12" s="122"/>
      <c r="D12" s="122"/>
      <c r="E12" s="122"/>
      <c r="F12" s="122"/>
      <c r="G12" s="147">
        <f>G13+G41+G51+G55+G63+G67</f>
        <v>9888.924306374427</v>
      </c>
    </row>
    <row r="13" spans="1:7" s="153" customFormat="1" ht="18.75" x14ac:dyDescent="0.3">
      <c r="A13" s="154" t="s">
        <v>248</v>
      </c>
      <c r="B13" s="121" t="str">
        <f>'Выбор поселения'!$CY$95</f>
        <v>665</v>
      </c>
      <c r="C13" s="122" t="s">
        <v>207</v>
      </c>
      <c r="D13" s="122"/>
      <c r="E13" s="122"/>
      <c r="F13" s="122"/>
      <c r="G13" s="147">
        <f>G14+G37</f>
        <v>6102.4485199999999</v>
      </c>
    </row>
    <row r="14" spans="1:7" s="153" customFormat="1" ht="37.5" x14ac:dyDescent="0.3">
      <c r="A14" s="154" t="s">
        <v>208</v>
      </c>
      <c r="B14" s="121" t="str">
        <f>'Выбор поселения'!$CY$95</f>
        <v>665</v>
      </c>
      <c r="C14" s="122" t="s">
        <v>207</v>
      </c>
      <c r="D14" s="122" t="s">
        <v>209</v>
      </c>
      <c r="E14" s="122"/>
      <c r="F14" s="122"/>
      <c r="G14" s="147">
        <f>G15</f>
        <v>6097.4485199999999</v>
      </c>
    </row>
    <row r="15" spans="1:7" s="153" customFormat="1" ht="18.75" x14ac:dyDescent="0.3">
      <c r="A15" s="154" t="s">
        <v>210</v>
      </c>
      <c r="B15" s="121" t="str">
        <f>'Выбор поселения'!$CY$95</f>
        <v>665</v>
      </c>
      <c r="C15" s="122" t="s">
        <v>207</v>
      </c>
      <c r="D15" s="122" t="s">
        <v>209</v>
      </c>
      <c r="E15" s="122" t="s">
        <v>249</v>
      </c>
      <c r="F15" s="122"/>
      <c r="G15" s="147">
        <f>G16+G19+G21+G23+G26+G28+G30+G32</f>
        <v>6097.4485199999999</v>
      </c>
    </row>
    <row r="16" spans="1:7" s="153" customFormat="1" ht="18.75" x14ac:dyDescent="0.3">
      <c r="A16" s="154" t="s">
        <v>136</v>
      </c>
      <c r="B16" s="121" t="str">
        <f>'Выбор поселения'!$CY$95</f>
        <v>665</v>
      </c>
      <c r="C16" s="122" t="s">
        <v>207</v>
      </c>
      <c r="D16" s="122" t="s">
        <v>209</v>
      </c>
      <c r="E16" s="122" t="s">
        <v>250</v>
      </c>
      <c r="F16" s="122"/>
      <c r="G16" s="147">
        <f>G17+G18</f>
        <v>5094.5999999999995</v>
      </c>
    </row>
    <row r="17" spans="1:7" ht="18.75" x14ac:dyDescent="0.3">
      <c r="A17" s="154" t="s">
        <v>251</v>
      </c>
      <c r="B17" s="121" t="str">
        <f>'Выбор поселения'!$CY$95</f>
        <v>665</v>
      </c>
      <c r="C17" s="122" t="s">
        <v>207</v>
      </c>
      <c r="D17" s="122" t="s">
        <v>209</v>
      </c>
      <c r="E17" s="122" t="s">
        <v>250</v>
      </c>
      <c r="F17" s="122" t="s">
        <v>211</v>
      </c>
      <c r="G17" s="189">
        <f>'Выбор поселения'!CY52</f>
        <v>3912.9029999999998</v>
      </c>
    </row>
    <row r="18" spans="1:7" ht="37.5" x14ac:dyDescent="0.3">
      <c r="A18" s="154" t="s">
        <v>252</v>
      </c>
      <c r="B18" s="121" t="str">
        <f>'Выбор поселения'!$CY$95</f>
        <v>665</v>
      </c>
      <c r="C18" s="122" t="s">
        <v>207</v>
      </c>
      <c r="D18" s="122" t="s">
        <v>209</v>
      </c>
      <c r="E18" s="122" t="s">
        <v>250</v>
      </c>
      <c r="F18" s="122" t="s">
        <v>212</v>
      </c>
      <c r="G18" s="189">
        <f>'Выбор поселения'!CY53</f>
        <v>1181.6969999999999</v>
      </c>
    </row>
    <row r="19" spans="1:7" s="153" customFormat="1" ht="18.75" x14ac:dyDescent="0.3">
      <c r="A19" s="154" t="s">
        <v>253</v>
      </c>
      <c r="B19" s="121" t="str">
        <f>'Выбор поселения'!$CY$95</f>
        <v>665</v>
      </c>
      <c r="C19" s="122" t="s">
        <v>207</v>
      </c>
      <c r="D19" s="122" t="s">
        <v>209</v>
      </c>
      <c r="E19" s="122" t="s">
        <v>254</v>
      </c>
      <c r="F19" s="122"/>
      <c r="G19" s="147">
        <f>G20</f>
        <v>65</v>
      </c>
    </row>
    <row r="20" spans="1:7" ht="18.75" x14ac:dyDescent="0.3">
      <c r="A20" s="154" t="s">
        <v>255</v>
      </c>
      <c r="B20" s="121" t="str">
        <f>'Выбор поселения'!$CY$95</f>
        <v>665</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665</v>
      </c>
      <c r="C21" s="122" t="s">
        <v>207</v>
      </c>
      <c r="D21" s="122" t="s">
        <v>209</v>
      </c>
      <c r="E21" s="122" t="s">
        <v>256</v>
      </c>
      <c r="F21" s="122"/>
      <c r="G21" s="147">
        <f>G22</f>
        <v>0</v>
      </c>
    </row>
    <row r="22" spans="1:7" ht="18.75" x14ac:dyDescent="0.3">
      <c r="A22" s="154" t="s">
        <v>255</v>
      </c>
      <c r="B22" s="121" t="str">
        <f>'Выбор поселения'!$CY$95</f>
        <v>665</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665</v>
      </c>
      <c r="C23" s="122" t="s">
        <v>207</v>
      </c>
      <c r="D23" s="122" t="s">
        <v>209</v>
      </c>
      <c r="E23" s="122" t="s">
        <v>257</v>
      </c>
      <c r="F23" s="122"/>
      <c r="G23" s="147">
        <f>G24+G25</f>
        <v>120</v>
      </c>
    </row>
    <row r="24" spans="1:7" ht="18.75" x14ac:dyDescent="0.3">
      <c r="A24" s="154" t="s">
        <v>216</v>
      </c>
      <c r="B24" s="121" t="str">
        <f>'Выбор поселения'!$CY$95</f>
        <v>665</v>
      </c>
      <c r="C24" s="122" t="s">
        <v>207</v>
      </c>
      <c r="D24" s="122" t="s">
        <v>209</v>
      </c>
      <c r="E24" s="122" t="s">
        <v>257</v>
      </c>
      <c r="F24" s="122" t="s">
        <v>217</v>
      </c>
      <c r="G24" s="189">
        <f>'Выбор поселения'!CY56</f>
        <v>10</v>
      </c>
    </row>
    <row r="25" spans="1:7" ht="18.75" x14ac:dyDescent="0.3">
      <c r="A25" s="154" t="s">
        <v>213</v>
      </c>
      <c r="B25" s="121" t="str">
        <f>'Выбор поселения'!$CY$95</f>
        <v>665</v>
      </c>
      <c r="C25" s="122" t="s">
        <v>207</v>
      </c>
      <c r="D25" s="122" t="s">
        <v>209</v>
      </c>
      <c r="E25" s="122" t="s">
        <v>257</v>
      </c>
      <c r="F25" s="122" t="s">
        <v>214</v>
      </c>
      <c r="G25" s="189">
        <f>'Выбор поселения'!CY57</f>
        <v>110</v>
      </c>
    </row>
    <row r="26" spans="1:7" s="153" customFormat="1" ht="18.75" x14ac:dyDescent="0.3">
      <c r="A26" s="154" t="s">
        <v>140</v>
      </c>
      <c r="B26" s="121" t="str">
        <f>'Выбор поселения'!$CY$95</f>
        <v>665</v>
      </c>
      <c r="C26" s="122" t="s">
        <v>207</v>
      </c>
      <c r="D26" s="122" t="s">
        <v>209</v>
      </c>
      <c r="E26" s="122" t="s">
        <v>258</v>
      </c>
      <c r="F26" s="122"/>
      <c r="G26" s="147">
        <f>G27</f>
        <v>15</v>
      </c>
    </row>
    <row r="27" spans="1:7" ht="18.75" x14ac:dyDescent="0.3">
      <c r="A27" s="154" t="s">
        <v>216</v>
      </c>
      <c r="B27" s="121" t="str">
        <f>'Выбор поселения'!$CY$95</f>
        <v>665</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665</v>
      </c>
      <c r="C28" s="122" t="s">
        <v>207</v>
      </c>
      <c r="D28" s="122" t="s">
        <v>209</v>
      </c>
      <c r="E28" s="122" t="s">
        <v>259</v>
      </c>
      <c r="F28" s="122"/>
      <c r="G28" s="147">
        <f>G29</f>
        <v>116.39252</v>
      </c>
    </row>
    <row r="29" spans="1:7" ht="18.75" x14ac:dyDescent="0.3">
      <c r="A29" s="154" t="s">
        <v>260</v>
      </c>
      <c r="B29" s="121" t="str">
        <f>'Выбор поселения'!$CY$95</f>
        <v>665</v>
      </c>
      <c r="C29" s="122" t="s">
        <v>207</v>
      </c>
      <c r="D29" s="122" t="s">
        <v>209</v>
      </c>
      <c r="E29" s="122" t="s">
        <v>259</v>
      </c>
      <c r="F29" s="122" t="s">
        <v>261</v>
      </c>
      <c r="G29" s="189">
        <f>'Выбор поселения'!CY59</f>
        <v>116.39252</v>
      </c>
    </row>
    <row r="30" spans="1:7" s="153" customFormat="1" ht="18.75" x14ac:dyDescent="0.3">
      <c r="A30" s="154" t="s">
        <v>142</v>
      </c>
      <c r="B30" s="121" t="str">
        <f>'Выбор поселения'!$CY$95</f>
        <v>665</v>
      </c>
      <c r="C30" s="122" t="s">
        <v>207</v>
      </c>
      <c r="D30" s="122" t="s">
        <v>209</v>
      </c>
      <c r="E30" s="122" t="s">
        <v>262</v>
      </c>
      <c r="F30" s="122"/>
      <c r="G30" s="147">
        <f>G31</f>
        <v>0</v>
      </c>
    </row>
    <row r="31" spans="1:7" ht="18.75" x14ac:dyDescent="0.3">
      <c r="A31" s="154" t="s">
        <v>216</v>
      </c>
      <c r="B31" s="121" t="str">
        <f>'Выбор поселения'!$CY$95</f>
        <v>665</v>
      </c>
      <c r="C31" s="122" t="s">
        <v>207</v>
      </c>
      <c r="D31" s="122" t="s">
        <v>209</v>
      </c>
      <c r="E31" s="122" t="s">
        <v>262</v>
      </c>
      <c r="F31" s="122" t="s">
        <v>217</v>
      </c>
      <c r="G31" s="189">
        <f>'Выбор поселения'!CY60</f>
        <v>0</v>
      </c>
    </row>
    <row r="32" spans="1:7" s="153" customFormat="1" ht="18.75" x14ac:dyDescent="0.3">
      <c r="A32" s="154" t="s">
        <v>263</v>
      </c>
      <c r="B32" s="121" t="str">
        <f>'Выбор поселения'!$CY$95</f>
        <v>665</v>
      </c>
      <c r="C32" s="122" t="s">
        <v>207</v>
      </c>
      <c r="D32" s="122" t="s">
        <v>209</v>
      </c>
      <c r="E32" s="122" t="s">
        <v>264</v>
      </c>
      <c r="F32" s="122"/>
      <c r="G32" s="147">
        <f>G33+G34+G35+G36</f>
        <v>686.45600000000002</v>
      </c>
    </row>
    <row r="33" spans="1:7" ht="18.75" x14ac:dyDescent="0.3">
      <c r="A33" s="154" t="s">
        <v>255</v>
      </c>
      <c r="B33" s="121" t="str">
        <f>'Выбор поселения'!$CY$95</f>
        <v>665</v>
      </c>
      <c r="C33" s="122" t="s">
        <v>207</v>
      </c>
      <c r="D33" s="122" t="s">
        <v>209</v>
      </c>
      <c r="E33" s="122" t="s">
        <v>264</v>
      </c>
      <c r="F33" s="122" t="s">
        <v>215</v>
      </c>
      <c r="G33" s="189">
        <f>'Выбор поселения'!CY61</f>
        <v>306.45600000000002</v>
      </c>
    </row>
    <row r="34" spans="1:7" ht="18.75" x14ac:dyDescent="0.3">
      <c r="A34" s="154" t="s">
        <v>216</v>
      </c>
      <c r="B34" s="121" t="str">
        <f>'Выбор поселения'!$CY$95</f>
        <v>665</v>
      </c>
      <c r="C34" s="122" t="s">
        <v>207</v>
      </c>
      <c r="D34" s="122" t="s">
        <v>209</v>
      </c>
      <c r="E34" s="122" t="s">
        <v>264</v>
      </c>
      <c r="F34" s="122" t="s">
        <v>217</v>
      </c>
      <c r="G34" s="189">
        <f>'Выбор поселения'!CY62</f>
        <v>300</v>
      </c>
    </row>
    <row r="35" spans="1:7" ht="18.75" x14ac:dyDescent="0.3">
      <c r="A35" s="154" t="s">
        <v>265</v>
      </c>
      <c r="B35" s="121" t="str">
        <f>'Выбор поселения'!$CY$95</f>
        <v>665</v>
      </c>
      <c r="C35" s="122" t="s">
        <v>207</v>
      </c>
      <c r="D35" s="122" t="s">
        <v>209</v>
      </c>
      <c r="E35" s="122" t="s">
        <v>264</v>
      </c>
      <c r="F35" s="122" t="s">
        <v>266</v>
      </c>
      <c r="G35" s="189">
        <v>0</v>
      </c>
    </row>
    <row r="36" spans="1:7" ht="18.75" x14ac:dyDescent="0.3">
      <c r="A36" s="154" t="s">
        <v>218</v>
      </c>
      <c r="B36" s="121" t="str">
        <f>'Выбор поселения'!$CY$95</f>
        <v>665</v>
      </c>
      <c r="C36" s="122" t="s">
        <v>207</v>
      </c>
      <c r="D36" s="122" t="s">
        <v>209</v>
      </c>
      <c r="E36" s="122" t="s">
        <v>264</v>
      </c>
      <c r="F36" s="122" t="s">
        <v>219</v>
      </c>
      <c r="G36" s="189">
        <f>'Выбор поселения'!CY63</f>
        <v>80</v>
      </c>
    </row>
    <row r="37" spans="1:7" s="153" customFormat="1" ht="18.75" x14ac:dyDescent="0.3">
      <c r="A37" s="154" t="s">
        <v>144</v>
      </c>
      <c r="B37" s="121" t="str">
        <f>'Выбор поселения'!$CY$95</f>
        <v>665</v>
      </c>
      <c r="C37" s="122" t="s">
        <v>207</v>
      </c>
      <c r="D37" s="122" t="s">
        <v>220</v>
      </c>
      <c r="E37" s="122"/>
      <c r="F37" s="122"/>
      <c r="G37" s="147">
        <f t="shared" ref="G37:G38" si="0">G38</f>
        <v>5</v>
      </c>
    </row>
    <row r="38" spans="1:7" s="153" customFormat="1" ht="18.75" x14ac:dyDescent="0.3">
      <c r="A38" s="154" t="s">
        <v>144</v>
      </c>
      <c r="B38" s="121" t="str">
        <f>'Выбор поселения'!$CY$95</f>
        <v>665</v>
      </c>
      <c r="C38" s="122" t="s">
        <v>207</v>
      </c>
      <c r="D38" s="122" t="s">
        <v>220</v>
      </c>
      <c r="E38" s="122" t="s">
        <v>267</v>
      </c>
      <c r="F38" s="122"/>
      <c r="G38" s="147">
        <f t="shared" si="0"/>
        <v>5</v>
      </c>
    </row>
    <row r="39" spans="1:7" s="153" customFormat="1" ht="18.75" x14ac:dyDescent="0.3">
      <c r="A39" s="154" t="s">
        <v>268</v>
      </c>
      <c r="B39" s="121" t="str">
        <f>'Выбор поселения'!$CY$95</f>
        <v>665</v>
      </c>
      <c r="C39" s="122" t="s">
        <v>207</v>
      </c>
      <c r="D39" s="122" t="s">
        <v>220</v>
      </c>
      <c r="E39" s="122" t="s">
        <v>269</v>
      </c>
      <c r="F39" s="122"/>
      <c r="G39" s="147">
        <f>G40</f>
        <v>5</v>
      </c>
    </row>
    <row r="40" spans="1:7" ht="18.75" x14ac:dyDescent="0.3">
      <c r="A40" s="154" t="s">
        <v>221</v>
      </c>
      <c r="B40" s="121" t="str">
        <f>'Выбор поселения'!$CY$95</f>
        <v>665</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665</v>
      </c>
      <c r="C41" s="122" t="s">
        <v>223</v>
      </c>
      <c r="D41" s="122"/>
      <c r="E41" s="122"/>
      <c r="F41" s="122"/>
      <c r="G41" s="147">
        <f>G42</f>
        <v>1073.451</v>
      </c>
    </row>
    <row r="42" spans="1:7" s="153" customFormat="1" ht="18.75" x14ac:dyDescent="0.3">
      <c r="A42" s="154" t="s">
        <v>224</v>
      </c>
      <c r="B42" s="121" t="str">
        <f>'Выбор поселения'!$CY$95</f>
        <v>665</v>
      </c>
      <c r="C42" s="122" t="s">
        <v>223</v>
      </c>
      <c r="D42" s="122" t="s">
        <v>225</v>
      </c>
      <c r="E42" s="122"/>
      <c r="F42" s="122"/>
      <c r="G42" s="147">
        <f>G43</f>
        <v>1073.451</v>
      </c>
    </row>
    <row r="43" spans="1:7" s="153" customFormat="1" ht="18.75" x14ac:dyDescent="0.3">
      <c r="A43" s="154" t="s">
        <v>226</v>
      </c>
      <c r="B43" s="121" t="str">
        <f>'Выбор поселения'!$CY$95</f>
        <v>665</v>
      </c>
      <c r="C43" s="122" t="s">
        <v>223</v>
      </c>
      <c r="D43" s="122" t="s">
        <v>225</v>
      </c>
      <c r="E43" s="122" t="s">
        <v>271</v>
      </c>
      <c r="F43" s="122"/>
      <c r="G43" s="147">
        <f>G44+G47</f>
        <v>1073.451</v>
      </c>
    </row>
    <row r="44" spans="1:7" s="153" customFormat="1" ht="18.75" x14ac:dyDescent="0.3">
      <c r="A44" s="154" t="s">
        <v>272</v>
      </c>
      <c r="B44" s="121" t="str">
        <f>'Выбор поселения'!$CY$95</f>
        <v>665</v>
      </c>
      <c r="C44" s="122" t="s">
        <v>223</v>
      </c>
      <c r="D44" s="122" t="s">
        <v>225</v>
      </c>
      <c r="E44" s="122" t="s">
        <v>273</v>
      </c>
      <c r="F44" s="122"/>
      <c r="G44" s="147">
        <f>G45+G46</f>
        <v>846.6</v>
      </c>
    </row>
    <row r="45" spans="1:7" ht="18.75" x14ac:dyDescent="0.3">
      <c r="A45" s="154" t="s">
        <v>251</v>
      </c>
      <c r="B45" s="121" t="str">
        <f>'Выбор поселения'!$CY$95</f>
        <v>665</v>
      </c>
      <c r="C45" s="122" t="s">
        <v>223</v>
      </c>
      <c r="D45" s="122" t="s">
        <v>225</v>
      </c>
      <c r="E45" s="122" t="s">
        <v>273</v>
      </c>
      <c r="F45" s="122" t="s">
        <v>211</v>
      </c>
      <c r="G45" s="189">
        <f>'Выбор поселения'!CY65</f>
        <v>650.23</v>
      </c>
    </row>
    <row r="46" spans="1:7" ht="37.5" x14ac:dyDescent="0.3">
      <c r="A46" s="154" t="s">
        <v>252</v>
      </c>
      <c r="B46" s="121" t="str">
        <f>'Выбор поселения'!$CY$95</f>
        <v>665</v>
      </c>
      <c r="C46" s="122" t="s">
        <v>223</v>
      </c>
      <c r="D46" s="122" t="s">
        <v>225</v>
      </c>
      <c r="E46" s="122" t="s">
        <v>273</v>
      </c>
      <c r="F46" s="122" t="s">
        <v>212</v>
      </c>
      <c r="G46" s="189">
        <f>'Выбор поселения'!CY66</f>
        <v>196.37</v>
      </c>
    </row>
    <row r="47" spans="1:7" s="153" customFormat="1" ht="18.75" x14ac:dyDescent="0.3">
      <c r="A47" s="154" t="s">
        <v>274</v>
      </c>
      <c r="B47" s="121" t="str">
        <f>'Выбор поселения'!$CY$95</f>
        <v>665</v>
      </c>
      <c r="C47" s="122" t="s">
        <v>223</v>
      </c>
      <c r="D47" s="122" t="s">
        <v>225</v>
      </c>
      <c r="E47" s="122" t="s">
        <v>275</v>
      </c>
      <c r="F47" s="122"/>
      <c r="G47" s="147">
        <f>G48+G49+G50</f>
        <v>226.851</v>
      </c>
    </row>
    <row r="48" spans="1:7" ht="18.75" x14ac:dyDescent="0.3">
      <c r="A48" s="154" t="s">
        <v>255</v>
      </c>
      <c r="B48" s="121" t="str">
        <f>'Выбор поселения'!$CY$95</f>
        <v>665</v>
      </c>
      <c r="C48" s="122" t="s">
        <v>223</v>
      </c>
      <c r="D48" s="122" t="s">
        <v>225</v>
      </c>
      <c r="E48" s="122" t="s">
        <v>275</v>
      </c>
      <c r="F48" s="122" t="s">
        <v>215</v>
      </c>
      <c r="G48" s="189">
        <f>'Выбор поселения'!CY67</f>
        <v>48.694000000000003</v>
      </c>
    </row>
    <row r="49" spans="1:7" ht="18.75" x14ac:dyDescent="0.3">
      <c r="A49" s="154" t="s">
        <v>216</v>
      </c>
      <c r="B49" s="121" t="str">
        <f>'Выбор поселения'!$CY$95</f>
        <v>665</v>
      </c>
      <c r="C49" s="122" t="s">
        <v>223</v>
      </c>
      <c r="D49" s="122" t="s">
        <v>225</v>
      </c>
      <c r="E49" s="122" t="s">
        <v>275</v>
      </c>
      <c r="F49" s="122" t="s">
        <v>217</v>
      </c>
      <c r="G49" s="189">
        <f>'Выбор поселения'!CY68</f>
        <v>125.621</v>
      </c>
    </row>
    <row r="50" spans="1:7" ht="18.75" x14ac:dyDescent="0.3">
      <c r="A50" s="154" t="s">
        <v>213</v>
      </c>
      <c r="B50" s="121" t="str">
        <f>'Выбор поселения'!$CY$95</f>
        <v>665</v>
      </c>
      <c r="C50" s="122" t="s">
        <v>223</v>
      </c>
      <c r="D50" s="122" t="s">
        <v>225</v>
      </c>
      <c r="E50" s="122" t="s">
        <v>275</v>
      </c>
      <c r="F50" s="122" t="s">
        <v>214</v>
      </c>
      <c r="G50" s="189">
        <f>'Выбор поселения'!CY69</f>
        <v>52.536000000000001</v>
      </c>
    </row>
    <row r="51" spans="1:7" s="153" customFormat="1" ht="18.75" x14ac:dyDescent="0.3">
      <c r="A51" s="154" t="s">
        <v>276</v>
      </c>
      <c r="B51" s="121" t="str">
        <f>'Выбор поселения'!$CY$95</f>
        <v>665</v>
      </c>
      <c r="C51" s="122" t="s">
        <v>225</v>
      </c>
      <c r="D51" s="122"/>
      <c r="E51" s="122"/>
      <c r="F51" s="122"/>
      <c r="G51" s="147">
        <f t="shared" ref="G51:G52" si="1">G52</f>
        <v>5</v>
      </c>
    </row>
    <row r="52" spans="1:7" s="153" customFormat="1" ht="37.5" x14ac:dyDescent="0.3">
      <c r="A52" s="154" t="s">
        <v>227</v>
      </c>
      <c r="B52" s="121" t="str">
        <f>'Выбор поселения'!$CY$95</f>
        <v>665</v>
      </c>
      <c r="C52" s="122" t="s">
        <v>225</v>
      </c>
      <c r="D52" s="122" t="s">
        <v>228</v>
      </c>
      <c r="E52" s="122"/>
      <c r="F52" s="122"/>
      <c r="G52" s="147">
        <f t="shared" si="1"/>
        <v>5</v>
      </c>
    </row>
    <row r="53" spans="1:7" s="153" customFormat="1" ht="18.75" x14ac:dyDescent="0.3">
      <c r="A53" s="154" t="s">
        <v>277</v>
      </c>
      <c r="B53" s="121" t="str">
        <f>'Выбор поселения'!$CY$95</f>
        <v>665</v>
      </c>
      <c r="C53" s="122" t="s">
        <v>225</v>
      </c>
      <c r="D53" s="122" t="s">
        <v>228</v>
      </c>
      <c r="E53" s="122">
        <v>2180002000</v>
      </c>
      <c r="F53" s="122"/>
      <c r="G53" s="147">
        <f>G54</f>
        <v>5</v>
      </c>
    </row>
    <row r="54" spans="1:7" ht="18.75" x14ac:dyDescent="0.3">
      <c r="A54" s="154" t="s">
        <v>216</v>
      </c>
      <c r="B54" s="121" t="str">
        <f>'Выбор поселения'!$CY$95</f>
        <v>665</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665</v>
      </c>
      <c r="C55" s="122" t="s">
        <v>229</v>
      </c>
      <c r="D55" s="122"/>
      <c r="E55" s="122"/>
      <c r="F55" s="122"/>
      <c r="G55" s="155">
        <f>G56</f>
        <v>1615.2200700000001</v>
      </c>
    </row>
    <row r="56" spans="1:7" s="153" customFormat="1" ht="18.75" x14ac:dyDescent="0.3">
      <c r="A56" s="154" t="s">
        <v>230</v>
      </c>
      <c r="B56" s="121" t="str">
        <f>'Выбор поселения'!$CY$95</f>
        <v>665</v>
      </c>
      <c r="C56" s="122" t="s">
        <v>229</v>
      </c>
      <c r="D56" s="122" t="s">
        <v>225</v>
      </c>
      <c r="E56" s="122"/>
      <c r="F56" s="122"/>
      <c r="G56" s="155">
        <f>G57</f>
        <v>1615.2200700000001</v>
      </c>
    </row>
    <row r="57" spans="1:7" s="153" customFormat="1" ht="18.75" x14ac:dyDescent="0.3">
      <c r="A57" s="154" t="s">
        <v>230</v>
      </c>
      <c r="B57" s="121" t="str">
        <f>'Выбор поселения'!$CY$95</f>
        <v>665</v>
      </c>
      <c r="C57" s="122" t="s">
        <v>229</v>
      </c>
      <c r="D57" s="122" t="s">
        <v>225</v>
      </c>
      <c r="E57" s="122" t="s">
        <v>279</v>
      </c>
      <c r="F57" s="122"/>
      <c r="G57" s="155">
        <f>G58+G60</f>
        <v>1615.2200700000001</v>
      </c>
    </row>
    <row r="58" spans="1:7" s="153" customFormat="1" ht="18.75" x14ac:dyDescent="0.3">
      <c r="A58" s="154" t="s">
        <v>280</v>
      </c>
      <c r="B58" s="121" t="str">
        <f>'Выбор поселения'!$CY$95</f>
        <v>665</v>
      </c>
      <c r="C58" s="122" t="s">
        <v>229</v>
      </c>
      <c r="D58" s="122" t="s">
        <v>225</v>
      </c>
      <c r="E58" s="122" t="s">
        <v>281</v>
      </c>
      <c r="F58" s="122"/>
      <c r="G58" s="155">
        <f>G59</f>
        <v>615.22007000000008</v>
      </c>
    </row>
    <row r="59" spans="1:7" ht="18.75" x14ac:dyDescent="0.3">
      <c r="A59" s="154" t="s">
        <v>213</v>
      </c>
      <c r="B59" s="121" t="str">
        <f>'Выбор поселения'!$CY$95</f>
        <v>665</v>
      </c>
      <c r="C59" s="122" t="s">
        <v>229</v>
      </c>
      <c r="D59" s="122" t="s">
        <v>225</v>
      </c>
      <c r="E59" s="122" t="s">
        <v>281</v>
      </c>
      <c r="F59" s="122" t="s">
        <v>214</v>
      </c>
      <c r="G59" s="189">
        <f>'Выбор поселения'!CY71+123.77407</f>
        <v>615.22007000000008</v>
      </c>
    </row>
    <row r="60" spans="1:7" s="153" customFormat="1" ht="18.75" x14ac:dyDescent="0.3">
      <c r="A60" s="154" t="s">
        <v>291</v>
      </c>
      <c r="B60" s="121" t="str">
        <f>'Выбор поселения'!$CY$95</f>
        <v>665</v>
      </c>
      <c r="C60" s="122" t="s">
        <v>229</v>
      </c>
      <c r="D60" s="122" t="s">
        <v>225</v>
      </c>
      <c r="E60" s="122" t="s">
        <v>282</v>
      </c>
      <c r="F60" s="122"/>
      <c r="G60" s="155">
        <f>G61+G62</f>
        <v>1000</v>
      </c>
    </row>
    <row r="61" spans="1:7" ht="18.75" x14ac:dyDescent="0.3">
      <c r="A61" s="154" t="s">
        <v>216</v>
      </c>
      <c r="B61" s="121" t="str">
        <f>'Выбор поселения'!$CY$95</f>
        <v>665</v>
      </c>
      <c r="C61" s="122" t="s">
        <v>229</v>
      </c>
      <c r="D61" s="122" t="s">
        <v>225</v>
      </c>
      <c r="E61" s="122" t="s">
        <v>282</v>
      </c>
      <c r="F61" s="122" t="s">
        <v>217</v>
      </c>
      <c r="G61" s="189">
        <f>'Выбор поселения'!CY72</f>
        <v>1000</v>
      </c>
    </row>
    <row r="62" spans="1:7" ht="44.25" customHeight="1" x14ac:dyDescent="0.25">
      <c r="A62" s="156" t="s">
        <v>284</v>
      </c>
      <c r="B62" s="121" t="str">
        <f>'Выбор поселения'!$CY$95</f>
        <v>665</v>
      </c>
      <c r="C62" s="122" t="s">
        <v>229</v>
      </c>
      <c r="D62" s="122" t="s">
        <v>225</v>
      </c>
      <c r="E62" s="122" t="s">
        <v>282</v>
      </c>
      <c r="F62" s="122" t="s">
        <v>234</v>
      </c>
      <c r="G62" s="189">
        <f>'Выбор поселения'!CY73</f>
        <v>0</v>
      </c>
    </row>
    <row r="63" spans="1:7" s="153" customFormat="1" ht="18.75" x14ac:dyDescent="0.3">
      <c r="A63" s="154" t="s">
        <v>283</v>
      </c>
      <c r="B63" s="121" t="str">
        <f>'Выбор поселения'!$CY$95</f>
        <v>665</v>
      </c>
      <c r="C63" s="122" t="s">
        <v>231</v>
      </c>
      <c r="D63" s="122"/>
      <c r="E63" s="122"/>
      <c r="F63" s="122"/>
      <c r="G63" s="155">
        <f t="shared" ref="G63:G64" si="2">G64</f>
        <v>1092.8047163744266</v>
      </c>
    </row>
    <row r="64" spans="1:7" s="153" customFormat="1" ht="18.75" x14ac:dyDescent="0.3">
      <c r="A64" s="154" t="s">
        <v>232</v>
      </c>
      <c r="B64" s="121" t="str">
        <f>'Выбор поселения'!$CY$95</f>
        <v>665</v>
      </c>
      <c r="C64" s="122" t="s">
        <v>231</v>
      </c>
      <c r="D64" s="122" t="s">
        <v>207</v>
      </c>
      <c r="E64" s="122"/>
      <c r="F64" s="122"/>
      <c r="G64" s="155">
        <f t="shared" si="2"/>
        <v>1092.8047163744266</v>
      </c>
    </row>
    <row r="65" spans="1:7" s="153" customFormat="1" ht="44.25" customHeight="1" x14ac:dyDescent="0.3">
      <c r="A65" s="156" t="s">
        <v>284</v>
      </c>
      <c r="B65" s="121" t="str">
        <f>'Выбор поселения'!$CY$95</f>
        <v>665</v>
      </c>
      <c r="C65" s="122" t="s">
        <v>231</v>
      </c>
      <c r="D65" s="122" t="s">
        <v>207</v>
      </c>
      <c r="E65" s="122" t="s">
        <v>285</v>
      </c>
      <c r="F65" s="122"/>
      <c r="G65" s="155">
        <f>G66</f>
        <v>1092.8047163744266</v>
      </c>
    </row>
    <row r="66" spans="1:7" ht="18.75" x14ac:dyDescent="0.3">
      <c r="A66" s="154" t="s">
        <v>233</v>
      </c>
      <c r="B66" s="121" t="str">
        <f>'Выбор поселения'!$CY$95</f>
        <v>665</v>
      </c>
      <c r="C66" s="122" t="s">
        <v>231</v>
      </c>
      <c r="D66" s="122" t="s">
        <v>207</v>
      </c>
      <c r="E66" s="122" t="s">
        <v>285</v>
      </c>
      <c r="F66" s="122" t="s">
        <v>234</v>
      </c>
      <c r="G66" s="189">
        <f>'Выбор поселения'!CY74</f>
        <v>1092.8047163744266</v>
      </c>
    </row>
    <row r="67" spans="1:7" s="153" customFormat="1" ht="18.75" x14ac:dyDescent="0.3">
      <c r="A67" s="154" t="s">
        <v>286</v>
      </c>
      <c r="B67" s="121" t="str">
        <f>'Выбор поселения'!$CY$95</f>
        <v>665</v>
      </c>
      <c r="C67" s="122">
        <v>14</v>
      </c>
      <c r="D67" s="122"/>
      <c r="E67" s="122"/>
      <c r="F67" s="122"/>
      <c r="G67" s="155">
        <f t="shared" ref="G67:G68" si="3">G68</f>
        <v>0</v>
      </c>
    </row>
    <row r="68" spans="1:7" s="153" customFormat="1" ht="18.75" x14ac:dyDescent="0.3">
      <c r="A68" s="154" t="s">
        <v>287</v>
      </c>
      <c r="B68" s="121" t="str">
        <f>'Выбор поселения'!$CY$95</f>
        <v>665</v>
      </c>
      <c r="C68" s="122">
        <v>14</v>
      </c>
      <c r="D68" s="122" t="s">
        <v>225</v>
      </c>
      <c r="E68" s="122"/>
      <c r="F68" s="122"/>
      <c r="G68" s="155">
        <f t="shared" si="3"/>
        <v>0</v>
      </c>
    </row>
    <row r="69" spans="1:7" s="153" customFormat="1" ht="37.5" x14ac:dyDescent="0.3">
      <c r="A69" s="154" t="s">
        <v>288</v>
      </c>
      <c r="B69" s="121" t="str">
        <f>'Выбор поселения'!$CY$95</f>
        <v>665</v>
      </c>
      <c r="C69" s="122">
        <v>14</v>
      </c>
      <c r="D69" s="122" t="s">
        <v>225</v>
      </c>
      <c r="E69" s="122">
        <v>5210006000</v>
      </c>
      <c r="F69" s="122"/>
      <c r="G69" s="155">
        <f>G70</f>
        <v>0</v>
      </c>
    </row>
    <row r="70" spans="1:7" ht="37.5" x14ac:dyDescent="0.3">
      <c r="A70" s="154" t="s">
        <v>289</v>
      </c>
      <c r="B70" s="121" t="str">
        <f>'Выбор поселения'!$CY$95</f>
        <v>665</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9888.924306374427</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71"/>
  <sheetViews>
    <sheetView view="pageBreakPreview" zoomScale="70" zoomScaleSheetLayoutView="70" workbookViewId="0">
      <selection activeCell="H7" sqref="H7"/>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6" x14ac:dyDescent="0.25">
      <c r="A3" s="111"/>
      <c r="F3" s="113" t="str">
        <f>CONCATENATE("О бюджете ",'Выбор поселения'!CY8," сельского поселения на 2026 год")</f>
        <v>О бюджете Надтеречненского сельского поселения на 2026 год</v>
      </c>
    </row>
    <row r="4" spans="1:6" x14ac:dyDescent="0.25">
      <c r="A4" s="111"/>
      <c r="F4" s="137" t="str">
        <f>CONCATENATE("от « ",'Выбор поселения'!CY7," » декабря 2025 г. № ",'Выбор поселения'!CY6)</f>
        <v>от « 30 » декабря 2025 г. № 25</v>
      </c>
    </row>
    <row r="5" spans="1:6" x14ac:dyDescent="0.25">
      <c r="A5" s="111"/>
      <c r="B5" s="113"/>
      <c r="D5" s="120" t="s">
        <v>443</v>
      </c>
    </row>
    <row r="6" spans="1:6" x14ac:dyDescent="0.25">
      <c r="B6" s="139"/>
    </row>
    <row r="7" spans="1:6" ht="51" customHeight="1" x14ac:dyDescent="0.3">
      <c r="A7" s="246" t="s">
        <v>380</v>
      </c>
      <c r="B7" s="246"/>
      <c r="C7" s="246"/>
      <c r="D7" s="246"/>
      <c r="E7" s="246"/>
      <c r="F7" s="246"/>
    </row>
    <row r="8" spans="1:6" ht="20.25" x14ac:dyDescent="0.3">
      <c r="A8" s="246"/>
      <c r="B8" s="246"/>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Надтеречненского сельского поселения Надтеречного муниципального района Чеченской Республики</v>
      </c>
      <c r="B12" s="122"/>
      <c r="C12" s="122"/>
      <c r="D12" s="122"/>
      <c r="E12" s="122"/>
      <c r="F12" s="147">
        <f>F13+F41+F51+F55+F63+F67</f>
        <v>9888.924306374427</v>
      </c>
    </row>
    <row r="13" spans="1:6" s="153" customFormat="1" ht="18.75" x14ac:dyDescent="0.3">
      <c r="A13" s="154" t="s">
        <v>248</v>
      </c>
      <c r="B13" s="122" t="s">
        <v>207</v>
      </c>
      <c r="C13" s="122"/>
      <c r="D13" s="122"/>
      <c r="E13" s="122"/>
      <c r="F13" s="147">
        <f>F14+F37</f>
        <v>6102.4485199999999</v>
      </c>
    </row>
    <row r="14" spans="1:6" s="153" customFormat="1" ht="37.5" x14ac:dyDescent="0.3">
      <c r="A14" s="154" t="s">
        <v>208</v>
      </c>
      <c r="B14" s="122" t="s">
        <v>207</v>
      </c>
      <c r="C14" s="122" t="s">
        <v>209</v>
      </c>
      <c r="D14" s="122"/>
      <c r="E14" s="122"/>
      <c r="F14" s="147">
        <f>F15</f>
        <v>6097.4485199999999</v>
      </c>
    </row>
    <row r="15" spans="1:6" s="153" customFormat="1" ht="18.75" x14ac:dyDescent="0.3">
      <c r="A15" s="154" t="s">
        <v>210</v>
      </c>
      <c r="B15" s="122" t="s">
        <v>207</v>
      </c>
      <c r="C15" s="122" t="s">
        <v>209</v>
      </c>
      <c r="D15" s="122" t="s">
        <v>249</v>
      </c>
      <c r="E15" s="122"/>
      <c r="F15" s="147">
        <f>F16+F19+F21+F23+F26+F28+F30+F32</f>
        <v>6097.4485199999999</v>
      </c>
    </row>
    <row r="16" spans="1:6" s="153" customFormat="1" ht="18.75" x14ac:dyDescent="0.3">
      <c r="A16" s="154" t="s">
        <v>136</v>
      </c>
      <c r="B16" s="122" t="s">
        <v>207</v>
      </c>
      <c r="C16" s="122" t="s">
        <v>209</v>
      </c>
      <c r="D16" s="122" t="s">
        <v>250</v>
      </c>
      <c r="E16" s="122"/>
      <c r="F16" s="147">
        <f>F17+F18</f>
        <v>5094.5999999999995</v>
      </c>
    </row>
    <row r="17" spans="1:6" ht="18.75" x14ac:dyDescent="0.3">
      <c r="A17" s="154" t="s">
        <v>251</v>
      </c>
      <c r="B17" s="122" t="s">
        <v>207</v>
      </c>
      <c r="C17" s="122" t="s">
        <v>209</v>
      </c>
      <c r="D17" s="122" t="s">
        <v>250</v>
      </c>
      <c r="E17" s="122" t="s">
        <v>211</v>
      </c>
      <c r="F17" s="189">
        <f>'Выбор поселения'!CY52</f>
        <v>3912.9029999999998</v>
      </c>
    </row>
    <row r="18" spans="1:6" ht="37.5" x14ac:dyDescent="0.3">
      <c r="A18" s="154" t="s">
        <v>252</v>
      </c>
      <c r="B18" s="122" t="s">
        <v>207</v>
      </c>
      <c r="C18" s="122" t="s">
        <v>209</v>
      </c>
      <c r="D18" s="122" t="s">
        <v>250</v>
      </c>
      <c r="E18" s="122" t="s">
        <v>212</v>
      </c>
      <c r="F18" s="189">
        <f>'Выбор поселения'!CY53</f>
        <v>1181.6969999999999</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hidden="1" x14ac:dyDescent="0.3">
      <c r="A21" s="154" t="s">
        <v>138</v>
      </c>
      <c r="B21" s="122" t="s">
        <v>207</v>
      </c>
      <c r="C21" s="122" t="s">
        <v>209</v>
      </c>
      <c r="D21" s="122" t="s">
        <v>256</v>
      </c>
      <c r="E21" s="122"/>
      <c r="F21" s="147">
        <f>F22</f>
        <v>0</v>
      </c>
    </row>
    <row r="22" spans="1:6" ht="18.75" hidden="1"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120</v>
      </c>
    </row>
    <row r="24" spans="1:6" ht="18.75" x14ac:dyDescent="0.3">
      <c r="A24" s="154" t="s">
        <v>216</v>
      </c>
      <c r="B24" s="122" t="s">
        <v>207</v>
      </c>
      <c r="C24" s="122" t="s">
        <v>209</v>
      </c>
      <c r="D24" s="122" t="s">
        <v>257</v>
      </c>
      <c r="E24" s="122" t="s">
        <v>217</v>
      </c>
      <c r="F24" s="189">
        <f>'Выбор поселения'!CY56</f>
        <v>10</v>
      </c>
    </row>
    <row r="25" spans="1:6" ht="18.75" x14ac:dyDescent="0.3">
      <c r="A25" s="154" t="s">
        <v>213</v>
      </c>
      <c r="B25" s="122" t="s">
        <v>207</v>
      </c>
      <c r="C25" s="122" t="s">
        <v>209</v>
      </c>
      <c r="D25" s="122" t="s">
        <v>257</v>
      </c>
      <c r="E25" s="122" t="s">
        <v>214</v>
      </c>
      <c r="F25" s="189">
        <f>'Выбор поселения'!CY57</f>
        <v>110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116.39252</v>
      </c>
    </row>
    <row r="29" spans="1:6" ht="18.75" x14ac:dyDescent="0.3">
      <c r="A29" s="154" t="s">
        <v>260</v>
      </c>
      <c r="B29" s="122" t="s">
        <v>207</v>
      </c>
      <c r="C29" s="122" t="s">
        <v>209</v>
      </c>
      <c r="D29" s="122" t="s">
        <v>259</v>
      </c>
      <c r="E29" s="122" t="s">
        <v>261</v>
      </c>
      <c r="F29" s="189">
        <f>'Выбор поселения'!CY59</f>
        <v>116.39252</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686.45600000000002</v>
      </c>
    </row>
    <row r="33" spans="1:6" ht="18.75" x14ac:dyDescent="0.3">
      <c r="A33" s="154" t="s">
        <v>255</v>
      </c>
      <c r="B33" s="122" t="s">
        <v>207</v>
      </c>
      <c r="C33" s="122" t="s">
        <v>209</v>
      </c>
      <c r="D33" s="122" t="s">
        <v>264</v>
      </c>
      <c r="E33" s="122" t="s">
        <v>215</v>
      </c>
      <c r="F33" s="189">
        <f>'Выбор поселения'!CY61</f>
        <v>306.45600000000002</v>
      </c>
    </row>
    <row r="34" spans="1:6" ht="18.75" x14ac:dyDescent="0.3">
      <c r="A34" s="154" t="s">
        <v>216</v>
      </c>
      <c r="B34" s="122" t="s">
        <v>207</v>
      </c>
      <c r="C34" s="122" t="s">
        <v>209</v>
      </c>
      <c r="D34" s="122" t="s">
        <v>264</v>
      </c>
      <c r="E34" s="122" t="s">
        <v>217</v>
      </c>
      <c r="F34" s="189">
        <f>'Выбор поселения'!CY62</f>
        <v>300</v>
      </c>
    </row>
    <row r="35" spans="1:6" ht="18.75" hidden="1"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80</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1073.451</v>
      </c>
    </row>
    <row r="42" spans="1:6" s="153" customFormat="1" ht="18.75" x14ac:dyDescent="0.3">
      <c r="A42" s="154" t="s">
        <v>224</v>
      </c>
      <c r="B42" s="122" t="s">
        <v>223</v>
      </c>
      <c r="C42" s="122" t="s">
        <v>225</v>
      </c>
      <c r="D42" s="122"/>
      <c r="E42" s="122"/>
      <c r="F42" s="147">
        <f>F43</f>
        <v>1073.451</v>
      </c>
    </row>
    <row r="43" spans="1:6" s="153" customFormat="1" ht="18.75" x14ac:dyDescent="0.3">
      <c r="A43" s="154" t="s">
        <v>226</v>
      </c>
      <c r="B43" s="122" t="s">
        <v>223</v>
      </c>
      <c r="C43" s="122" t="s">
        <v>225</v>
      </c>
      <c r="D43" s="122" t="s">
        <v>271</v>
      </c>
      <c r="E43" s="122"/>
      <c r="F43" s="147">
        <f>F44+F47</f>
        <v>1073.451</v>
      </c>
    </row>
    <row r="44" spans="1:6" s="153" customFormat="1" ht="18.75" x14ac:dyDescent="0.3">
      <c r="A44" s="154" t="s">
        <v>272</v>
      </c>
      <c r="B44" s="122" t="s">
        <v>223</v>
      </c>
      <c r="C44" s="122" t="s">
        <v>225</v>
      </c>
      <c r="D44" s="122" t="s">
        <v>273</v>
      </c>
      <c r="E44" s="122"/>
      <c r="F44" s="147">
        <f>F45+F46</f>
        <v>846.6</v>
      </c>
    </row>
    <row r="45" spans="1:6" ht="18.75" x14ac:dyDescent="0.3">
      <c r="A45" s="154" t="s">
        <v>251</v>
      </c>
      <c r="B45" s="122" t="s">
        <v>223</v>
      </c>
      <c r="C45" s="122" t="s">
        <v>225</v>
      </c>
      <c r="D45" s="122" t="s">
        <v>273</v>
      </c>
      <c r="E45" s="122" t="s">
        <v>211</v>
      </c>
      <c r="F45" s="189">
        <f>'Выбор поселения'!CY65</f>
        <v>650.23</v>
      </c>
    </row>
    <row r="46" spans="1:6" ht="37.5" x14ac:dyDescent="0.3">
      <c r="A46" s="154" t="s">
        <v>252</v>
      </c>
      <c r="B46" s="122" t="s">
        <v>223</v>
      </c>
      <c r="C46" s="122" t="s">
        <v>225</v>
      </c>
      <c r="D46" s="122" t="s">
        <v>273</v>
      </c>
      <c r="E46" s="122" t="s">
        <v>212</v>
      </c>
      <c r="F46" s="189">
        <f>'Выбор поселения'!CY66</f>
        <v>196.37</v>
      </c>
    </row>
    <row r="47" spans="1:6" s="153" customFormat="1" ht="18.75" x14ac:dyDescent="0.3">
      <c r="A47" s="154" t="s">
        <v>274</v>
      </c>
      <c r="B47" s="122" t="s">
        <v>223</v>
      </c>
      <c r="C47" s="122" t="s">
        <v>225</v>
      </c>
      <c r="D47" s="122" t="s">
        <v>275</v>
      </c>
      <c r="E47" s="122"/>
      <c r="F47" s="147">
        <f>F48+F49+F50</f>
        <v>226.851</v>
      </c>
    </row>
    <row r="48" spans="1:6" ht="18.75" x14ac:dyDescent="0.3">
      <c r="A48" s="154" t="s">
        <v>255</v>
      </c>
      <c r="B48" s="122" t="s">
        <v>223</v>
      </c>
      <c r="C48" s="122" t="s">
        <v>225</v>
      </c>
      <c r="D48" s="122" t="s">
        <v>275</v>
      </c>
      <c r="E48" s="122" t="s">
        <v>215</v>
      </c>
      <c r="F48" s="189">
        <f>'Выбор поселения'!CY67</f>
        <v>48.694000000000003</v>
      </c>
    </row>
    <row r="49" spans="1:6" ht="18.75" x14ac:dyDescent="0.3">
      <c r="A49" s="154" t="s">
        <v>216</v>
      </c>
      <c r="B49" s="122" t="s">
        <v>223</v>
      </c>
      <c r="C49" s="122" t="s">
        <v>225</v>
      </c>
      <c r="D49" s="122" t="s">
        <v>275</v>
      </c>
      <c r="E49" s="122" t="s">
        <v>217</v>
      </c>
      <c r="F49" s="189">
        <f>'Выбор поселения'!CY68</f>
        <v>125.621</v>
      </c>
    </row>
    <row r="50" spans="1:6" ht="18.75" x14ac:dyDescent="0.3">
      <c r="A50" s="154" t="s">
        <v>213</v>
      </c>
      <c r="B50" s="122" t="s">
        <v>223</v>
      </c>
      <c r="C50" s="122" t="s">
        <v>225</v>
      </c>
      <c r="D50" s="122" t="s">
        <v>275</v>
      </c>
      <c r="E50" s="122" t="s">
        <v>214</v>
      </c>
      <c r="F50" s="189">
        <f>'Выбор поселения'!CY69</f>
        <v>52.536000000000001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1615.2200700000001</v>
      </c>
    </row>
    <row r="56" spans="1:6" s="153" customFormat="1" ht="18.75" x14ac:dyDescent="0.3">
      <c r="A56" s="154" t="s">
        <v>230</v>
      </c>
      <c r="B56" s="122" t="s">
        <v>229</v>
      </c>
      <c r="C56" s="122" t="s">
        <v>225</v>
      </c>
      <c r="D56" s="122"/>
      <c r="E56" s="122"/>
      <c r="F56" s="155">
        <f>F57</f>
        <v>1615.2200700000001</v>
      </c>
    </row>
    <row r="57" spans="1:6" s="153" customFormat="1" ht="18.75" x14ac:dyDescent="0.3">
      <c r="A57" s="154" t="s">
        <v>230</v>
      </c>
      <c r="B57" s="122" t="s">
        <v>229</v>
      </c>
      <c r="C57" s="122" t="s">
        <v>225</v>
      </c>
      <c r="D57" s="122" t="s">
        <v>279</v>
      </c>
      <c r="E57" s="122"/>
      <c r="F57" s="155">
        <f>F58+F60</f>
        <v>1615.2200700000001</v>
      </c>
    </row>
    <row r="58" spans="1:6" s="153" customFormat="1" ht="18.75" x14ac:dyDescent="0.3">
      <c r="A58" s="154" t="s">
        <v>280</v>
      </c>
      <c r="B58" s="122" t="s">
        <v>229</v>
      </c>
      <c r="C58" s="122" t="s">
        <v>225</v>
      </c>
      <c r="D58" s="122" t="s">
        <v>281</v>
      </c>
      <c r="E58" s="122"/>
      <c r="F58" s="155">
        <f>F59</f>
        <v>615.22007000000008</v>
      </c>
    </row>
    <row r="59" spans="1:6" ht="18.75" x14ac:dyDescent="0.3">
      <c r="A59" s="154" t="s">
        <v>213</v>
      </c>
      <c r="B59" s="122" t="s">
        <v>229</v>
      </c>
      <c r="C59" s="122" t="s">
        <v>225</v>
      </c>
      <c r="D59" s="122" t="s">
        <v>281</v>
      </c>
      <c r="E59" s="122" t="s">
        <v>214</v>
      </c>
      <c r="F59" s="189">
        <f>'Выбор поселения'!CY71+123.77407</f>
        <v>615.22007000000008</v>
      </c>
    </row>
    <row r="60" spans="1:6" s="153" customFormat="1" ht="18.75" x14ac:dyDescent="0.3">
      <c r="A60" s="154" t="s">
        <v>291</v>
      </c>
      <c r="B60" s="122" t="s">
        <v>229</v>
      </c>
      <c r="C60" s="122" t="s">
        <v>225</v>
      </c>
      <c r="D60" s="122" t="s">
        <v>282</v>
      </c>
      <c r="E60" s="122"/>
      <c r="F60" s="155">
        <f>F61+F62</f>
        <v>1000</v>
      </c>
    </row>
    <row r="61" spans="1:6" ht="18.75" x14ac:dyDescent="0.3">
      <c r="A61" s="154" t="s">
        <v>216</v>
      </c>
      <c r="B61" s="122" t="s">
        <v>229</v>
      </c>
      <c r="C61" s="122" t="s">
        <v>225</v>
      </c>
      <c r="D61" s="122" t="s">
        <v>282</v>
      </c>
      <c r="E61" s="122" t="s">
        <v>217</v>
      </c>
      <c r="F61" s="189">
        <f>'Выбор поселения'!CY72</f>
        <v>1000</v>
      </c>
    </row>
    <row r="62" spans="1:6" ht="44.25" customHeight="1" x14ac:dyDescent="0.25">
      <c r="A62" s="156" t="s">
        <v>284</v>
      </c>
      <c r="B62" s="122" t="s">
        <v>229</v>
      </c>
      <c r="C62" s="122" t="s">
        <v>225</v>
      </c>
      <c r="D62" s="122" t="s">
        <v>282</v>
      </c>
      <c r="E62" s="122" t="s">
        <v>234</v>
      </c>
      <c r="F62" s="189">
        <f>'Выбор поселения'!CY73</f>
        <v>0</v>
      </c>
    </row>
    <row r="63" spans="1:6" s="153" customFormat="1" ht="18.75" x14ac:dyDescent="0.3">
      <c r="A63" s="154" t="s">
        <v>283</v>
      </c>
      <c r="B63" s="122" t="s">
        <v>231</v>
      </c>
      <c r="C63" s="122"/>
      <c r="D63" s="122"/>
      <c r="E63" s="122"/>
      <c r="F63" s="155">
        <f t="shared" ref="F63:F64" si="2">F64</f>
        <v>1092.8047163744266</v>
      </c>
    </row>
    <row r="64" spans="1:6" s="153" customFormat="1" ht="18.75" x14ac:dyDescent="0.3">
      <c r="A64" s="154" t="s">
        <v>232</v>
      </c>
      <c r="B64" s="122" t="s">
        <v>231</v>
      </c>
      <c r="C64" s="122" t="s">
        <v>207</v>
      </c>
      <c r="D64" s="122"/>
      <c r="E64" s="122"/>
      <c r="F64" s="155">
        <f t="shared" si="2"/>
        <v>1092.8047163744266</v>
      </c>
    </row>
    <row r="65" spans="1:6" s="153" customFormat="1" ht="44.25" customHeight="1" x14ac:dyDescent="0.3">
      <c r="A65" s="156" t="s">
        <v>284</v>
      </c>
      <c r="B65" s="122" t="s">
        <v>231</v>
      </c>
      <c r="C65" s="122" t="s">
        <v>207</v>
      </c>
      <c r="D65" s="122" t="s">
        <v>285</v>
      </c>
      <c r="E65" s="122"/>
      <c r="F65" s="155">
        <f>F66</f>
        <v>1092.8047163744266</v>
      </c>
    </row>
    <row r="66" spans="1:6" ht="18.75" x14ac:dyDescent="0.3">
      <c r="A66" s="154" t="s">
        <v>233</v>
      </c>
      <c r="B66" s="122" t="s">
        <v>231</v>
      </c>
      <c r="C66" s="122" t="s">
        <v>207</v>
      </c>
      <c r="D66" s="122" t="s">
        <v>285</v>
      </c>
      <c r="E66" s="122" t="s">
        <v>234</v>
      </c>
      <c r="F66" s="189">
        <f>'Выбор поселения'!CY74</f>
        <v>1092.8047163744266</v>
      </c>
    </row>
    <row r="67" spans="1:6" s="153" customFormat="1" ht="18.75" hidden="1" x14ac:dyDescent="0.3">
      <c r="A67" s="154" t="s">
        <v>286</v>
      </c>
      <c r="B67" s="122">
        <v>14</v>
      </c>
      <c r="C67" s="122"/>
      <c r="D67" s="122"/>
      <c r="E67" s="122"/>
      <c r="F67" s="155">
        <f t="shared" ref="F67:F68" si="3">F68</f>
        <v>0</v>
      </c>
    </row>
    <row r="68" spans="1:6" s="153" customFormat="1" ht="18.75" hidden="1" x14ac:dyDescent="0.3">
      <c r="A68" s="154" t="s">
        <v>287</v>
      </c>
      <c r="B68" s="122">
        <v>14</v>
      </c>
      <c r="C68" s="122" t="s">
        <v>225</v>
      </c>
      <c r="D68" s="122"/>
      <c r="E68" s="122"/>
      <c r="F68" s="155">
        <f t="shared" si="3"/>
        <v>0</v>
      </c>
    </row>
    <row r="69" spans="1:6" s="153" customFormat="1" ht="37.5" hidden="1" x14ac:dyDescent="0.3">
      <c r="A69" s="154" t="s">
        <v>288</v>
      </c>
      <c r="B69" s="122">
        <v>14</v>
      </c>
      <c r="C69" s="122" t="s">
        <v>225</v>
      </c>
      <c r="D69" s="122">
        <v>5210006000</v>
      </c>
      <c r="E69" s="122"/>
      <c r="F69" s="155">
        <f>F70</f>
        <v>0</v>
      </c>
    </row>
    <row r="70" spans="1:6" ht="37.5" hidden="1"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9888.924306374427</v>
      </c>
    </row>
  </sheetData>
  <sheetProtection sort="0" autoFilter="0"/>
  <autoFilter ref="A11:F71">
    <filterColumn colId="5">
      <filters>
        <filter val="1 144,247"/>
        <filter val="1 830,247"/>
        <filter val="102,000"/>
        <filter val="12,000"/>
        <filter val="12,353"/>
        <filter val="12,956"/>
        <filter val="120,000"/>
        <filter val="13 676,184"/>
        <filter val="15,000"/>
        <filter val="216,000"/>
        <filter val="223,174"/>
        <filter val="226,456"/>
        <filter val="23,977"/>
        <filter val="274,608"/>
        <filter val="298,000"/>
        <filter val="3 196,620"/>
        <filter val="357,540"/>
        <filter val="4 162,000"/>
        <filter val="406,826"/>
        <filter val="470,000"/>
        <filter val="49,286"/>
        <filter val="5 271,630"/>
        <filter val="5 276,630"/>
        <filter val="5,000"/>
        <filter val="584,456"/>
        <filter val="6 157,481"/>
        <filter val="60,000"/>
        <filter val="65,000"/>
        <filter val="686,000"/>
        <filter val="82,932"/>
        <filter val="90,000"/>
        <filter val="965,380"/>
      </filters>
    </filterColumn>
  </autoFilter>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CY6" sqref="CY6"/>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6" x14ac:dyDescent="0.25">
      <c r="A3" s="111"/>
      <c r="C3" s="113" t="str">
        <f>CONCATENATE("О бюджете ",'Выбор поселения'!CY8," сельского поселения на 2026 год")</f>
        <v>О бюджете Надтеречненского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25</v>
      </c>
    </row>
    <row r="5" spans="1:6" x14ac:dyDescent="0.25">
      <c r="A5" s="111"/>
      <c r="B5" s="113"/>
    </row>
    <row r="6" spans="1:6" x14ac:dyDescent="0.25">
      <c r="B6" s="139"/>
    </row>
    <row r="7" spans="1:6" ht="68.25" customHeight="1" x14ac:dyDescent="0.3">
      <c r="A7" s="246" t="s">
        <v>376</v>
      </c>
      <c r="B7" s="246"/>
      <c r="C7" s="246"/>
      <c r="D7" s="182"/>
      <c r="E7" s="182"/>
      <c r="F7" s="182"/>
    </row>
    <row r="8" spans="1:6" ht="20.25" x14ac:dyDescent="0.3">
      <c r="A8" s="246"/>
      <c r="B8" s="246"/>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7" x14ac:dyDescent="0.25">
      <c r="A3" s="111"/>
      <c r="G3" s="113" t="str">
        <f>CONCATENATE("О бюджете ",'Выбор поселения'!CY8," сельского поселения на 2026 год")</f>
        <v>О бюджете Надтеречненского сельского поселения на 2026 год</v>
      </c>
    </row>
    <row r="4" spans="1:7" x14ac:dyDescent="0.25">
      <c r="A4" s="111"/>
      <c r="G4" s="137" t="str">
        <f>CONCATENATE("от « ",'Выбор поселения'!CY7," » декабря 2025 г. № ",'Выбор поселения'!CY6)</f>
        <v>от « 30 » декабря 2025 г. № 25</v>
      </c>
    </row>
    <row r="5" spans="1:7" x14ac:dyDescent="0.25">
      <c r="A5" s="111"/>
      <c r="B5" s="113"/>
    </row>
    <row r="6" spans="1:7" x14ac:dyDescent="0.25">
      <c r="B6" s="139"/>
    </row>
    <row r="7" spans="1:7" ht="49.5" customHeight="1" x14ac:dyDescent="0.25">
      <c r="A7" s="254" t="s">
        <v>375</v>
      </c>
      <c r="B7" s="254"/>
      <c r="C7" s="254"/>
      <c r="D7" s="254"/>
      <c r="E7" s="254"/>
      <c r="F7" s="254"/>
      <c r="G7" s="254"/>
    </row>
    <row r="8" spans="1:7" ht="25.5" customHeight="1" x14ac:dyDescent="0.3">
      <c r="A8" s="255" t="s">
        <v>397</v>
      </c>
      <c r="B8" s="255"/>
      <c r="C8" s="255"/>
      <c r="D8" s="255"/>
      <c r="E8" s="255"/>
      <c r="F8" s="255"/>
      <c r="G8" s="255"/>
    </row>
    <row r="9" spans="1:7" ht="18.75" x14ac:dyDescent="0.25">
      <c r="A9" s="257" t="s">
        <v>305</v>
      </c>
      <c r="B9" s="257"/>
      <c r="C9" s="257"/>
      <c r="D9" s="257"/>
      <c r="E9" s="257"/>
      <c r="F9" s="257"/>
      <c r="G9" s="257"/>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59" t="s">
        <v>313</v>
      </c>
      <c r="B12" s="259"/>
      <c r="C12" s="259"/>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5" t="s">
        <v>318</v>
      </c>
      <c r="B15" s="255"/>
      <c r="C15" s="255"/>
      <c r="D15" s="255"/>
      <c r="E15" s="255"/>
      <c r="F15" s="255"/>
      <c r="G15" s="255"/>
    </row>
    <row r="16" spans="1:7" ht="18.75" x14ac:dyDescent="0.3">
      <c r="A16" s="255" t="s">
        <v>398</v>
      </c>
      <c r="B16" s="255"/>
      <c r="C16" s="255"/>
      <c r="D16" s="255"/>
      <c r="E16" s="255"/>
      <c r="F16" s="255"/>
      <c r="G16" s="255"/>
    </row>
    <row r="17" spans="1:7" ht="18.75" x14ac:dyDescent="0.3">
      <c r="A17" s="256"/>
      <c r="B17" s="256"/>
      <c r="C17" s="256"/>
      <c r="D17" s="256"/>
      <c r="E17" s="256"/>
      <c r="F17" s="256"/>
      <c r="G17" s="256"/>
    </row>
    <row r="18" spans="1:7" ht="16.5" customHeight="1" x14ac:dyDescent="0.25">
      <c r="A18" s="257" t="s">
        <v>305</v>
      </c>
      <c r="B18" s="257"/>
      <c r="C18" s="257"/>
      <c r="D18" s="257"/>
      <c r="E18" s="257"/>
      <c r="F18" s="257"/>
      <c r="G18" s="257"/>
    </row>
    <row r="19" spans="1:7" ht="90" customHeight="1" x14ac:dyDescent="0.25">
      <c r="A19" s="258" t="s">
        <v>314</v>
      </c>
      <c r="B19" s="258"/>
      <c r="C19" s="258"/>
      <c r="D19" s="258"/>
      <c r="E19" s="258" t="s">
        <v>315</v>
      </c>
      <c r="F19" s="258"/>
      <c r="G19" s="258"/>
    </row>
    <row r="20" spans="1:7" ht="21" customHeight="1" x14ac:dyDescent="0.25">
      <c r="A20" s="250" t="s">
        <v>316</v>
      </c>
      <c r="B20" s="250"/>
      <c r="C20" s="250"/>
      <c r="D20" s="250"/>
      <c r="E20" s="251">
        <v>0</v>
      </c>
      <c r="F20" s="251"/>
      <c r="G20" s="251"/>
    </row>
    <row r="21" spans="1:7" ht="21" customHeight="1" x14ac:dyDescent="0.25">
      <c r="A21" s="250" t="s">
        <v>317</v>
      </c>
      <c r="B21" s="250"/>
      <c r="C21" s="250"/>
      <c r="D21" s="250"/>
      <c r="E21" s="251">
        <v>0</v>
      </c>
      <c r="F21" s="251"/>
      <c r="G21" s="251"/>
    </row>
    <row r="22" spans="1:7" ht="21" customHeight="1" x14ac:dyDescent="0.25">
      <c r="A22" s="252" t="s">
        <v>313</v>
      </c>
      <c r="B22" s="252"/>
      <c r="C22" s="252"/>
      <c r="D22" s="252"/>
      <c r="E22" s="253">
        <v>0</v>
      </c>
      <c r="F22" s="253"/>
      <c r="G22" s="253"/>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abSelected="1" view="pageBreakPreview" zoomScale="55" zoomScaleSheetLayoutView="55" workbookViewId="0">
      <selection activeCell="E7" sqref="E7"/>
    </sheetView>
  </sheetViews>
  <sheetFormatPr defaultRowHeight="15" x14ac:dyDescent="0.25"/>
  <cols>
    <col min="1" max="1" width="7.28515625" style="138" bestFit="1" customWidth="1"/>
    <col min="2" max="2" width="38.425781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7" x14ac:dyDescent="0.25">
      <c r="A3" s="111"/>
      <c r="D3" s="113" t="str">
        <f>CONCATENATE("О бюджете ",'Выбор поселения'!CY8," сельского поселения на 2026 год")</f>
        <v>О бюджете Надтеречненского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25</v>
      </c>
    </row>
    <row r="5" spans="1:7" x14ac:dyDescent="0.25">
      <c r="A5" s="111"/>
      <c r="B5" s="113"/>
      <c r="C5" s="120" t="s">
        <v>441</v>
      </c>
    </row>
    <row r="6" spans="1:7" x14ac:dyDescent="0.25">
      <c r="B6" s="139"/>
    </row>
    <row r="7" spans="1:7" ht="62.25" customHeight="1" x14ac:dyDescent="0.25">
      <c r="A7" s="254" t="s">
        <v>396</v>
      </c>
      <c r="B7" s="254"/>
      <c r="C7" s="254"/>
      <c r="D7" s="254"/>
      <c r="E7" s="159"/>
      <c r="F7" s="159"/>
      <c r="G7" s="159"/>
    </row>
    <row r="9" spans="1:7" ht="37.5" x14ac:dyDescent="0.3">
      <c r="A9" s="175"/>
      <c r="B9" s="176"/>
      <c r="C9" s="176"/>
      <c r="D9" s="178" t="s">
        <v>305</v>
      </c>
    </row>
    <row r="10" spans="1:7" ht="37.5" x14ac:dyDescent="0.25">
      <c r="A10" s="231" t="s">
        <v>306</v>
      </c>
      <c r="B10" s="232" t="s">
        <v>411</v>
      </c>
      <c r="C10" s="232" t="s">
        <v>412</v>
      </c>
      <c r="D10" s="232" t="s">
        <v>413</v>
      </c>
    </row>
    <row r="11" spans="1:7" ht="18.75" x14ac:dyDescent="0.25">
      <c r="A11" s="231">
        <v>1</v>
      </c>
      <c r="B11" s="232">
        <v>1</v>
      </c>
      <c r="C11" s="232">
        <v>2</v>
      </c>
      <c r="D11" s="232">
        <v>3</v>
      </c>
    </row>
    <row r="12" spans="1:7" ht="37.5" customHeight="1" x14ac:dyDescent="0.25">
      <c r="A12" s="121">
        <v>1</v>
      </c>
      <c r="B12" s="156" t="s">
        <v>414</v>
      </c>
      <c r="C12" s="156"/>
      <c r="D12" s="233">
        <v>123.77406999999999</v>
      </c>
    </row>
    <row r="13" spans="1:7" ht="37.5" customHeight="1" x14ac:dyDescent="0.25">
      <c r="A13" s="121">
        <v>2</v>
      </c>
      <c r="B13" s="156" t="s">
        <v>415</v>
      </c>
      <c r="C13" s="156" t="s">
        <v>416</v>
      </c>
      <c r="D13" s="233">
        <v>0</v>
      </c>
    </row>
    <row r="14" spans="1:7" ht="37.5" customHeight="1" x14ac:dyDescent="0.25">
      <c r="A14" s="121">
        <v>3</v>
      </c>
      <c r="B14" s="156" t="s">
        <v>417</v>
      </c>
      <c r="C14" s="156" t="s">
        <v>418</v>
      </c>
      <c r="D14" s="233">
        <v>0</v>
      </c>
    </row>
    <row r="15" spans="1:7" ht="28.5" customHeight="1" x14ac:dyDescent="0.25">
      <c r="A15" s="121">
        <v>4</v>
      </c>
      <c r="B15" s="156" t="s">
        <v>419</v>
      </c>
      <c r="C15" s="156" t="s">
        <v>420</v>
      </c>
      <c r="D15" s="233">
        <v>0</v>
      </c>
    </row>
    <row r="16" spans="1:7" ht="93.75" x14ac:dyDescent="0.25">
      <c r="A16" s="121">
        <v>5</v>
      </c>
      <c r="B16" s="156" t="s">
        <v>421</v>
      </c>
      <c r="C16" s="156" t="s">
        <v>422</v>
      </c>
      <c r="D16" s="233">
        <v>0</v>
      </c>
    </row>
    <row r="17" spans="1:4" ht="112.5" x14ac:dyDescent="0.25">
      <c r="A17" s="121">
        <v>6</v>
      </c>
      <c r="B17" s="156" t="s">
        <v>423</v>
      </c>
      <c r="C17" s="156" t="s">
        <v>424</v>
      </c>
      <c r="D17" s="233">
        <v>0</v>
      </c>
    </row>
    <row r="18" spans="1:4" ht="112.5" x14ac:dyDescent="0.25">
      <c r="A18" s="121">
        <v>7</v>
      </c>
      <c r="B18" s="156" t="s">
        <v>425</v>
      </c>
      <c r="C18" s="156" t="s">
        <v>426</v>
      </c>
      <c r="D18" s="233">
        <v>0</v>
      </c>
    </row>
    <row r="19" spans="1:4" ht="112.5" x14ac:dyDescent="0.25">
      <c r="A19" s="121">
        <v>8</v>
      </c>
      <c r="B19" s="156" t="s">
        <v>427</v>
      </c>
      <c r="C19" s="156" t="s">
        <v>428</v>
      </c>
      <c r="D19" s="233">
        <v>0</v>
      </c>
    </row>
    <row r="20" spans="1:4" ht="18.75" x14ac:dyDescent="0.25">
      <c r="A20" s="121">
        <v>9</v>
      </c>
      <c r="B20" s="156" t="s">
        <v>429</v>
      </c>
      <c r="C20" s="156" t="s">
        <v>416</v>
      </c>
      <c r="D20" s="233">
        <v>123.77406999999999</v>
      </c>
    </row>
    <row r="21" spans="1:4" ht="56.25" x14ac:dyDescent="0.25">
      <c r="A21" s="121">
        <v>10</v>
      </c>
      <c r="B21" s="156" t="s">
        <v>319</v>
      </c>
      <c r="C21" s="156" t="s">
        <v>430</v>
      </c>
      <c r="D21" s="233">
        <v>123.77406999999999</v>
      </c>
    </row>
    <row r="22" spans="1:4" ht="93.75" x14ac:dyDescent="0.25">
      <c r="A22" s="121">
        <v>11</v>
      </c>
      <c r="B22" s="156" t="s">
        <v>431</v>
      </c>
      <c r="C22" s="156" t="s">
        <v>432</v>
      </c>
      <c r="D22" s="233">
        <v>123.77406999999999</v>
      </c>
    </row>
    <row r="23" spans="1:4" ht="56.25" x14ac:dyDescent="0.25">
      <c r="A23" s="121">
        <v>12</v>
      </c>
      <c r="B23" s="156" t="s">
        <v>433</v>
      </c>
      <c r="C23" s="156" t="s">
        <v>434</v>
      </c>
      <c r="D23" s="233">
        <v>0</v>
      </c>
    </row>
    <row r="24" spans="1:4" ht="75" x14ac:dyDescent="0.25">
      <c r="A24" s="121">
        <v>13</v>
      </c>
      <c r="B24" s="156" t="s">
        <v>435</v>
      </c>
      <c r="C24" s="156" t="s">
        <v>436</v>
      </c>
      <c r="D24" s="233">
        <v>0</v>
      </c>
    </row>
    <row r="25" spans="1:4" ht="93.75" x14ac:dyDescent="0.25">
      <c r="A25" s="121">
        <v>14</v>
      </c>
      <c r="B25" s="156" t="s">
        <v>437</v>
      </c>
      <c r="C25" s="156" t="s">
        <v>438</v>
      </c>
      <c r="D25" s="233">
        <v>0</v>
      </c>
    </row>
    <row r="26" spans="1:4" ht="75" x14ac:dyDescent="0.25">
      <c r="A26" s="121">
        <v>15</v>
      </c>
      <c r="B26" s="156" t="s">
        <v>439</v>
      </c>
      <c r="C26" s="156" t="s">
        <v>440</v>
      </c>
      <c r="D26" s="233">
        <v>0</v>
      </c>
    </row>
  </sheetData>
  <mergeCells count="1">
    <mergeCell ref="A7:D7"/>
  </mergeCells>
  <pageMargins left="0.70866141732283472" right="0.70866141732283472" top="0.74803149606299213" bottom="0.74803149606299213" header="0.31496062992125984" footer="0.31496062992125984"/>
  <pageSetup paperSize="9" scale="49"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CY6" sqref="CY6"/>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7" x14ac:dyDescent="0.25">
      <c r="A3" s="111"/>
      <c r="D3" s="113" t="str">
        <f>CONCATENATE("О бюджете ",'Выбор поселения'!CY8," сельского поселения на 2026 год")</f>
        <v>О бюджете Надтеречненского сельского поселения на 2026 год</v>
      </c>
    </row>
    <row r="4" spans="1:7" x14ac:dyDescent="0.25">
      <c r="A4" s="111"/>
      <c r="D4" s="137" t="str">
        <f>CONCATENATE("от « ",'Выбор поселения'!CY7," » декабря 2025 г. № ",'Выбор поселения'!CY6)</f>
        <v>от « 30 » декабря 2025 г. № 25</v>
      </c>
    </row>
    <row r="5" spans="1:7" x14ac:dyDescent="0.25">
      <c r="A5" s="111"/>
      <c r="B5" s="113"/>
    </row>
    <row r="6" spans="1:7" x14ac:dyDescent="0.25">
      <c r="B6" s="139"/>
    </row>
    <row r="7" spans="1:7" ht="20.25" x14ac:dyDescent="0.25">
      <c r="A7" s="254" t="s">
        <v>403</v>
      </c>
      <c r="B7" s="254"/>
      <c r="C7" s="254"/>
      <c r="D7" s="254"/>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D12" sqref="D12"/>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Надтеречненского сельского поселения</v>
      </c>
    </row>
    <row r="3" spans="1:6" x14ac:dyDescent="0.25">
      <c r="A3" s="111"/>
      <c r="C3" s="113" t="str">
        <f>CONCATENATE("О бюджете ",'Выбор поселения'!CY8," сельского поселения на 2026 год")</f>
        <v>О бюджете Надтеречненского сельского поселения на 2026 год</v>
      </c>
    </row>
    <row r="4" spans="1:6" x14ac:dyDescent="0.25">
      <c r="A4" s="111"/>
      <c r="C4" s="137" t="str">
        <f>CONCATENATE("от « ",'Выбор поселения'!CY7," » декабря 2025 г. № ",'Выбор поселения'!CY6)</f>
        <v>от « 30 » декабря 2025 г. № 25</v>
      </c>
    </row>
    <row r="5" spans="1:6" x14ac:dyDescent="0.25">
      <c r="A5" s="111"/>
      <c r="B5" s="113"/>
    </row>
    <row r="6" spans="1:6" x14ac:dyDescent="0.25">
      <c r="B6" s="139"/>
    </row>
    <row r="7" spans="1:6" ht="20.25" customHeight="1" x14ac:dyDescent="0.25">
      <c r="A7" s="254" t="s">
        <v>401</v>
      </c>
      <c r="B7" s="254"/>
      <c r="C7" s="254"/>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1092.8047163744266</v>
      </c>
    </row>
    <row r="12" spans="1:6" ht="60" customHeight="1" x14ac:dyDescent="0.25">
      <c r="A12" s="163">
        <v>2</v>
      </c>
      <c r="B12" s="164" t="str">
        <f>'Выбор поселения'!CY97</f>
        <v>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v>
      </c>
      <c r="C12" s="165">
        <f>'Выбор поселения'!CY73+4000</f>
        <v>4000</v>
      </c>
    </row>
    <row r="13" spans="1:6" ht="50.25" hidden="1" customHeight="1" x14ac:dyDescent="0.25">
      <c r="A13" s="163">
        <v>3</v>
      </c>
      <c r="B13" s="164" t="str">
        <f>'Выбор поселения'!CY98</f>
        <v xml:space="preserve">Субсидия бюджету Чеченской Республики в соответствии со ст. 142.2 Бюджетного кодекса Российской Федерации </v>
      </c>
      <c r="C13" s="165">
        <f>'Выбор поселения'!CY75</f>
        <v>0</v>
      </c>
    </row>
    <row r="14" spans="1:6" ht="41.25" customHeight="1" x14ac:dyDescent="0.25">
      <c r="A14" s="166"/>
      <c r="B14" s="167" t="s">
        <v>349</v>
      </c>
      <c r="C14" s="168">
        <f>C11+C12+C13</f>
        <v>5092.8047163744268</v>
      </c>
    </row>
  </sheetData>
  <sheetProtection sort="0" autoFilter="0"/>
  <autoFilter ref="A10:C14">
    <filterColumn colId="2">
      <filters>
        <filter val="11 242,830"/>
        <filter val="4 686,000"/>
        <filter val="6 556,830"/>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2026-11-03T11:48:02Z</dcterms:modified>
</cp:coreProperties>
</file>